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4" activeTab="4"/>
  </bookViews>
  <sheets>
    <sheet name=" HRF na 10-2016" sheetId="1" state="hidden" r:id="rId1"/>
    <sheet name="Protokół za 10-2016" sheetId="2" state="hidden" r:id="rId2"/>
    <sheet name="Załącznik 2" sheetId="3" state="hidden" r:id="rId3"/>
    <sheet name="Załącznik1" sheetId="4" state="hidden" r:id="rId4"/>
    <sheet name="Załącznik nr 1e - wykaz sprzętu elektronicznego" sheetId="5" r:id="rId5"/>
    <sheet name="Załącznik nr 1f- maszyny i urządzenia od uszkodzeń" sheetId="6" r:id="rId6"/>
    <sheet name="Załącznik nr 1g - budynki, budowle, maszyny, urządzenia, wyposażenie" sheetId="7" r:id="rId7"/>
  </sheets>
  <externalReferences>
    <externalReference r:id="rId10"/>
  </externalReferences>
  <definedNames>
    <definedName name="_xlnm.Print_Area" localSheetId="1">'Protokół za 10-2016'!$A$1:$K$511</definedName>
    <definedName name="_xlnm.Print_Area" localSheetId="2">'Załącznik 2'!$A$1:$J$464</definedName>
    <definedName name="_xlnm.Print_Area" localSheetId="3">'Załącznik1'!$A$2:$J$48</definedName>
    <definedName name="Excel_BuiltIn__FilterDatabase_1">'Załącznik nr 1g - budynki, budowle, maszyny, urządzenia, wyposażenie'!$A$3:$E$35</definedName>
    <definedName name="Excel_BuiltIn_Print_Area" localSheetId="1">'Protokół za 10-2016'!$A$1:$K$511</definedName>
    <definedName name="Excel_BuiltIn_Print_Area" localSheetId="2">'Załącznik 2'!$A$1:$J$464</definedName>
    <definedName name="Excel_BuiltIn_Print_Area" localSheetId="3">'Załącznik1'!$A$2:$J$48</definedName>
    <definedName name="Excel_BuiltIn__FilterDatabase" localSheetId="6">'Załącznik nr 1g - budynki, budowle, maszyny, urządzenia, wyposażenie'!$A$3:$E$35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41" authorId="0">
      <text>
        <r>
          <rPr>
            <b/>
            <sz val="9"/>
            <color indexed="8"/>
            <rFont val="Tahoma"/>
            <family val="2"/>
          </rPr>
          <t xml:space="preserve">Gorlicki Karol:
</t>
        </r>
        <r>
          <rPr>
            <sz val="9"/>
            <color indexed="8"/>
            <rFont val="Tahoma"/>
            <family val="2"/>
          </rPr>
          <t xml:space="preserve">dla całości obiektów fermentacji 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O77" authorId="0">
      <text>
        <r>
          <rPr>
            <b/>
            <sz val="9"/>
            <color indexed="8"/>
            <rFont val="Tahoma"/>
            <family val="2"/>
          </rPr>
          <t xml:space="preserve">Daniel:
</t>
        </r>
        <r>
          <rPr>
            <sz val="14"/>
            <color indexed="8"/>
            <rFont val="Tahoma"/>
            <family val="2"/>
          </rPr>
          <t xml:space="preserve">Przyjęto jedynie długość wysokonapięciowych </t>
        </r>
      </text>
    </comment>
  </commentList>
</comments>
</file>

<file path=xl/sharedStrings.xml><?xml version="1.0" encoding="utf-8"?>
<sst xmlns="http://schemas.openxmlformats.org/spreadsheetml/2006/main" count="3742" uniqueCount="1041">
  <si>
    <t xml:space="preserve">Dotyczy:realizacji umowy nr  272.03.2015 na wykonanie w systemie zaprojektuj i wybuduj zadania pn. Budowa Zakładu Zagospodarowania Odpadów wraz z zakupem niezbędnych maszyn i urządzeń w miejscowości Wólka Rokicka, Gmina Lubartów.  </t>
  </si>
  <si>
    <t>Data: 02.06.2016r.</t>
  </si>
  <si>
    <t>L.p.</t>
  </si>
  <si>
    <t>Opis robót</t>
  </si>
  <si>
    <t>% w ofercie</t>
  </si>
  <si>
    <t>wartość netto</t>
  </si>
  <si>
    <t>I.</t>
  </si>
  <si>
    <t>Dokumentacja projektowa, w tym:</t>
  </si>
  <si>
    <t>2,8% w tym:</t>
  </si>
  <si>
    <t xml:space="preserve"> - projekt budowlany (kompletny do uzyskania pozwolenia na budowę)</t>
  </si>
  <si>
    <t>1.1</t>
  </si>
  <si>
    <t xml:space="preserve">Etap I - plac dojrzewana / zaplecze budowy </t>
  </si>
  <si>
    <t>1.1.1</t>
  </si>
  <si>
    <t xml:space="preserve">-projekt placu </t>
  </si>
  <si>
    <t>1.1.2</t>
  </si>
  <si>
    <t xml:space="preserve">-projekt zbiornika </t>
  </si>
  <si>
    <t>1.1.3</t>
  </si>
  <si>
    <t xml:space="preserve">-projekt sieci </t>
  </si>
  <si>
    <t>1.1.4</t>
  </si>
  <si>
    <t>-pozostałe</t>
  </si>
  <si>
    <t>1.2</t>
  </si>
  <si>
    <t xml:space="preserve">Etap II - zakład </t>
  </si>
  <si>
    <t>1.2.1</t>
  </si>
  <si>
    <t xml:space="preserve">-hala sortowni </t>
  </si>
  <si>
    <t>1.2.2</t>
  </si>
  <si>
    <t>-Instalacja suchej fermentacji</t>
  </si>
  <si>
    <t>1.2.3</t>
  </si>
  <si>
    <t xml:space="preserve">-zbiornik fermentacji odcieków </t>
  </si>
  <si>
    <t>1.2.4</t>
  </si>
  <si>
    <t>-odsiarczalnia biogazu</t>
  </si>
  <si>
    <t>1.2.5</t>
  </si>
  <si>
    <t xml:space="preserve">-Gazogenerator </t>
  </si>
  <si>
    <t>1.2.6</t>
  </si>
  <si>
    <t xml:space="preserve">-boksy magazynowe odpadów niebezpiecznych </t>
  </si>
  <si>
    <t>1.2.7</t>
  </si>
  <si>
    <t>-boksy na odpady wielkogabartyowe</t>
  </si>
  <si>
    <t>1.2.8</t>
  </si>
  <si>
    <t>-budynek administracyjno-socjalny</t>
  </si>
  <si>
    <t>1.2.9</t>
  </si>
  <si>
    <t>-budynek warsztatowo-garażowy</t>
  </si>
  <si>
    <t>1.2.10</t>
  </si>
  <si>
    <t xml:space="preserve">- place  i drogi </t>
  </si>
  <si>
    <t>1.2.11</t>
  </si>
  <si>
    <t xml:space="preserve">-Myjka kół i podwozia </t>
  </si>
  <si>
    <t>1.2.12</t>
  </si>
  <si>
    <t>-punkt ewidencyjny</t>
  </si>
  <si>
    <t>1.2.13</t>
  </si>
  <si>
    <t>-zbiornik wód deszczowych z funkcją p.poż</t>
  </si>
  <si>
    <t>1.2.14</t>
  </si>
  <si>
    <t xml:space="preserve">-zbiornik odcieków placu dojrzewania </t>
  </si>
  <si>
    <t>1.2.15</t>
  </si>
  <si>
    <t>-biofiltr</t>
  </si>
  <si>
    <t>1.2.16</t>
  </si>
  <si>
    <t xml:space="preserve">-trafostacja + awaryjny agregat prądotwórczy </t>
  </si>
  <si>
    <t>1.2.17</t>
  </si>
  <si>
    <t xml:space="preserve">-zbiornk sedymentacji </t>
  </si>
  <si>
    <t>1.2.18</t>
  </si>
  <si>
    <t>-wentylatorownia</t>
  </si>
  <si>
    <t>1.2.19</t>
  </si>
  <si>
    <t xml:space="preserve">-sieci kanalaizacji deszczowej i sanitarnej </t>
  </si>
  <si>
    <t>1.2.20</t>
  </si>
  <si>
    <t xml:space="preserve"> - projekt procesowy (technologiczny)</t>
  </si>
  <si>
    <t>2.1</t>
  </si>
  <si>
    <t xml:space="preserve">-projekt wstępny - przekazanie do akceptacji </t>
  </si>
  <si>
    <t>2.2</t>
  </si>
  <si>
    <t xml:space="preserve">-projekt wstępny -akceptacja </t>
  </si>
  <si>
    <t>2.3</t>
  </si>
  <si>
    <t xml:space="preserve">-projket technologiczny pełny- przekazanie do akceptacji </t>
  </si>
  <si>
    <t>2.4</t>
  </si>
  <si>
    <t xml:space="preserve">-projket technologiczny pełny- akceptacja </t>
  </si>
  <si>
    <t xml:space="preserve"> - projekty wykonawcze, </t>
  </si>
  <si>
    <t>3.1</t>
  </si>
  <si>
    <t xml:space="preserve">PW I etapu </t>
  </si>
  <si>
    <t>3.2</t>
  </si>
  <si>
    <t>PW II etapu</t>
  </si>
  <si>
    <t xml:space="preserve"> - instrukcje </t>
  </si>
  <si>
    <t xml:space="preserve"> - projekt rozruchu,</t>
  </si>
  <si>
    <t xml:space="preserve"> - dokumentacja powykonawcza wraz z inwentaryzacją geodezyjną,</t>
  </si>
  <si>
    <t xml:space="preserve"> - dokumentacja niezbędna do uzyskania pozwolenia na użytkowanie</t>
  </si>
  <si>
    <t>- operat przeciwpożarowy</t>
  </si>
  <si>
    <t xml:space="preserve"> - inne niż wymienione powyżej - pozwolenie zintegrowane, wniosek RIPOK</t>
  </si>
  <si>
    <t>II.</t>
  </si>
  <si>
    <t>Budynki i budowle Zakładu, w tym:</t>
  </si>
  <si>
    <t>18,5%, w tym:</t>
  </si>
  <si>
    <t xml:space="preserve"> - przygotowanie terenu pod budowę z pracami geodezyjnymi</t>
  </si>
  <si>
    <t>Obiekt nr 1</t>
  </si>
  <si>
    <t>Obiekt nr 2</t>
  </si>
  <si>
    <t>1.3</t>
  </si>
  <si>
    <t>Obiekt nr 3</t>
  </si>
  <si>
    <t>1.4</t>
  </si>
  <si>
    <t>Obiekt nr 4 ,4a ,4b</t>
  </si>
  <si>
    <t>1.5</t>
  </si>
  <si>
    <t>Obiekt nr 5, 5a</t>
  </si>
  <si>
    <t>1.6</t>
  </si>
  <si>
    <t>Obiekt nr 6</t>
  </si>
  <si>
    <t>1.7</t>
  </si>
  <si>
    <t>Obiekt nr 7 i 9</t>
  </si>
  <si>
    <t>1.8</t>
  </si>
  <si>
    <t>Obiekt nr 8</t>
  </si>
  <si>
    <t>1.9</t>
  </si>
  <si>
    <t>Obiekt nr 10</t>
  </si>
  <si>
    <t>1.10</t>
  </si>
  <si>
    <t>Obiekt nr 11</t>
  </si>
  <si>
    <t>1.11</t>
  </si>
  <si>
    <t>Obiekt nr 12</t>
  </si>
  <si>
    <t>1.12</t>
  </si>
  <si>
    <t>Obiekt nr 13</t>
  </si>
  <si>
    <t>1.13</t>
  </si>
  <si>
    <t>Obiekt nr 14</t>
  </si>
  <si>
    <t>1.14</t>
  </si>
  <si>
    <t>Obiekt nr 15</t>
  </si>
  <si>
    <t>1.15</t>
  </si>
  <si>
    <t>Obiekt nr 16</t>
  </si>
  <si>
    <t>1.16</t>
  </si>
  <si>
    <t>Obiekt nr 17</t>
  </si>
  <si>
    <t>1.17</t>
  </si>
  <si>
    <t>Obiekt nr 18</t>
  </si>
  <si>
    <t>1.18</t>
  </si>
  <si>
    <t>Obiekt nr 19</t>
  </si>
  <si>
    <t>1.19</t>
  </si>
  <si>
    <t>Obiekt nr 20</t>
  </si>
  <si>
    <t>1.20</t>
  </si>
  <si>
    <t>Sieć wodociągowa i P-POŻ</t>
  </si>
  <si>
    <t>1.21</t>
  </si>
  <si>
    <t>Sieć kanalizacji deszczowej i sanitarnej</t>
  </si>
  <si>
    <t>1.22</t>
  </si>
  <si>
    <t>Sieci technologiczne</t>
  </si>
  <si>
    <t>1.23</t>
  </si>
  <si>
    <t>Kanalizacja kablowa, sieci elektroenergetyczne i AKPiA</t>
  </si>
  <si>
    <t xml:space="preserve"> - hala sortowni, z boksami na odpady segregowane - obiekt nr 1 </t>
  </si>
  <si>
    <t>-roboty ziemne i żelnetowe</t>
  </si>
  <si>
    <t>-posadzka</t>
  </si>
  <si>
    <t>2.2.1</t>
  </si>
  <si>
    <t>-chudy beton</t>
  </si>
  <si>
    <t>2.2.2</t>
  </si>
  <si>
    <t>-warstwa docelowa</t>
  </si>
  <si>
    <t>-konstrukcja stalowa</t>
  </si>
  <si>
    <t>2.3.1</t>
  </si>
  <si>
    <t>-dostawa konstrukcji stalowej</t>
  </si>
  <si>
    <t>2.3.2</t>
  </si>
  <si>
    <t>-montaż konstrukcji stalowej</t>
  </si>
  <si>
    <t>-obudowa i pokrycie dachu</t>
  </si>
  <si>
    <t>2.4.1</t>
  </si>
  <si>
    <t>-obudowa z płyt warstwowych</t>
  </si>
  <si>
    <t>2.4.2</t>
  </si>
  <si>
    <t>-strop z blachy stalowej</t>
  </si>
  <si>
    <t>2.4.3</t>
  </si>
  <si>
    <t>-ocieplenie z izolacji termicznej</t>
  </si>
  <si>
    <t>2.4.4</t>
  </si>
  <si>
    <t>izolacja przeciwwodna - membrana</t>
  </si>
  <si>
    <t>2.4.5</t>
  </si>
  <si>
    <t>-obróbki dekarskie ścian i dachu</t>
  </si>
  <si>
    <t>2.4.6</t>
  </si>
  <si>
    <t>-odwodnienie dachu</t>
  </si>
  <si>
    <t>2.5</t>
  </si>
  <si>
    <t>-stolarka, ślusarka, naświetla</t>
  </si>
  <si>
    <t>2.5.1</t>
  </si>
  <si>
    <t>-stolarka - dostawa i montaż</t>
  </si>
  <si>
    <t>2.5.2</t>
  </si>
  <si>
    <t>-ślusarka - dostawa i montaż</t>
  </si>
  <si>
    <t>2.5.3</t>
  </si>
  <si>
    <t>-naświetla z klapami dymowymi + sterowanie</t>
  </si>
  <si>
    <t xml:space="preserve"> - instalacja fermentacji z instalacją odsiarczania gazu - obiekt nr 2 </t>
  </si>
  <si>
    <t>-roboty ziemne</t>
  </si>
  <si>
    <t>-roboty żelbetowe kompostowni</t>
  </si>
  <si>
    <t>3.2.1</t>
  </si>
  <si>
    <t>-Komora 1</t>
  </si>
  <si>
    <t>3.2.1.1</t>
  </si>
  <si>
    <t>-warstwa podkładowa z izolacjami</t>
  </si>
  <si>
    <t>3.2.1.2</t>
  </si>
  <si>
    <t>-płyta denna</t>
  </si>
  <si>
    <t>3.2.1.3</t>
  </si>
  <si>
    <t>-ściany</t>
  </si>
  <si>
    <t>3.2.1.4</t>
  </si>
  <si>
    <t>-strop</t>
  </si>
  <si>
    <t>3.2.2</t>
  </si>
  <si>
    <t>-Komora 2</t>
  </si>
  <si>
    <t>3.2.2.1</t>
  </si>
  <si>
    <t>3.2.2.2</t>
  </si>
  <si>
    <t>3.2.2.3</t>
  </si>
  <si>
    <t>3.2.2.4</t>
  </si>
  <si>
    <t>3.2.3</t>
  </si>
  <si>
    <t>-Komora 3</t>
  </si>
  <si>
    <t>3.2.3.1</t>
  </si>
  <si>
    <t>3.2.3.2</t>
  </si>
  <si>
    <t>3.2.3.3</t>
  </si>
  <si>
    <t>3.2.3.4</t>
  </si>
  <si>
    <t>3.2.4</t>
  </si>
  <si>
    <t>-Komora 4</t>
  </si>
  <si>
    <t>3.2.4.1</t>
  </si>
  <si>
    <t>3.2.4.2</t>
  </si>
  <si>
    <t>3.2.4.3</t>
  </si>
  <si>
    <t>3.2.4.4</t>
  </si>
  <si>
    <t>3.2.5</t>
  </si>
  <si>
    <t>-Komora 5</t>
  </si>
  <si>
    <t>3.2.5.1</t>
  </si>
  <si>
    <t>3.2.5.2</t>
  </si>
  <si>
    <t>3.2.5.3</t>
  </si>
  <si>
    <t>3.2.5.4</t>
  </si>
  <si>
    <t>3.2.6</t>
  </si>
  <si>
    <t>-Komora 6</t>
  </si>
  <si>
    <t>3.2.6.1</t>
  </si>
  <si>
    <t>3.2.6.2</t>
  </si>
  <si>
    <t>3.2.6.3</t>
  </si>
  <si>
    <t>3.2.6.4</t>
  </si>
  <si>
    <t>3.2.7</t>
  </si>
  <si>
    <t>-Komora 7</t>
  </si>
  <si>
    <t>3.2.7.1</t>
  </si>
  <si>
    <t>3.2.7.2</t>
  </si>
  <si>
    <t>3.2.7.3</t>
  </si>
  <si>
    <t>3.2.7.4</t>
  </si>
  <si>
    <t>3.3</t>
  </si>
  <si>
    <t>-Zbiornik fermentacji - obiekt ne 3</t>
  </si>
  <si>
    <t>3.3.1</t>
  </si>
  <si>
    <t>-warstwa podkładowa</t>
  </si>
  <si>
    <t>3.3.2</t>
  </si>
  <si>
    <t>3.3.3</t>
  </si>
  <si>
    <t>-ściany +0 do 6</t>
  </si>
  <si>
    <t>3.3.4</t>
  </si>
  <si>
    <t>-ściany +6 do +12</t>
  </si>
  <si>
    <t>3.4</t>
  </si>
  <si>
    <t>-roboty fundamentowe elementów zew</t>
  </si>
  <si>
    <t>3.4.1</t>
  </si>
  <si>
    <t xml:space="preserve">-zbiornik sedymntacji -obiekt nr  17 - komplet </t>
  </si>
  <si>
    <t>3.4.2</t>
  </si>
  <si>
    <t xml:space="preserve">- obiekty 4 , 4a , 4b  - komplet </t>
  </si>
  <si>
    <t>3.4.3</t>
  </si>
  <si>
    <t xml:space="preserve">- obiekt nr 20 - komplet </t>
  </si>
  <si>
    <t>3.4.4</t>
  </si>
  <si>
    <t>- obiekt nr 2 w zakresie zbiornik złego gazu - komplet</t>
  </si>
  <si>
    <t>3.5</t>
  </si>
  <si>
    <t>-roboty wykończeniowe</t>
  </si>
  <si>
    <t>3.5.1</t>
  </si>
  <si>
    <t xml:space="preserve">- ocieplenie komór fermentacji </t>
  </si>
  <si>
    <t>3.5.2</t>
  </si>
  <si>
    <t xml:space="preserve"> - tynk komór fermentacji </t>
  </si>
  <si>
    <t>3.5.3</t>
  </si>
  <si>
    <t xml:space="preserve">- izolacje wewnętrzne  zbiornika perkolatu </t>
  </si>
  <si>
    <t>3.5.4</t>
  </si>
  <si>
    <t xml:space="preserve">- izolacje zewnętrzne zbiornika perkolatu </t>
  </si>
  <si>
    <t>3.5.5</t>
  </si>
  <si>
    <t xml:space="preserve">- tynk zewnętrzny zbiornika perkloatu </t>
  </si>
  <si>
    <t>3.5.6</t>
  </si>
  <si>
    <t>- obsługowy  pomost zewnętrzny zbiornika percolatu - komplet</t>
  </si>
  <si>
    <t>3.5.7</t>
  </si>
  <si>
    <t xml:space="preserve"> - pomieszczenie techniczne zbiornika perkolatu - komplet</t>
  </si>
  <si>
    <t>3.5.8</t>
  </si>
  <si>
    <t>- odwodnienia dachu przedsionka  manewrowego</t>
  </si>
  <si>
    <t>3.5.9</t>
  </si>
  <si>
    <t xml:space="preserve">- odwodnienie dachu kortyarza technicznego </t>
  </si>
  <si>
    <t>3.5.10</t>
  </si>
  <si>
    <t xml:space="preserve">- izolacja termiczna  dachu obiekty nr 2 </t>
  </si>
  <si>
    <t>3.5.11</t>
  </si>
  <si>
    <t xml:space="preserve">- izolacja przeciwodna obiektu nr 2  - membrama </t>
  </si>
  <si>
    <t>3.5.12</t>
  </si>
  <si>
    <t xml:space="preserve">- klapy dymowe - komplet </t>
  </si>
  <si>
    <t>3.5.13</t>
  </si>
  <si>
    <t xml:space="preserve">- posdzka przedsionka manewrowego </t>
  </si>
  <si>
    <t>3.5.13.1</t>
  </si>
  <si>
    <t>- chudy beton</t>
  </si>
  <si>
    <t>3.5.13.2</t>
  </si>
  <si>
    <t xml:space="preserve">- warstwa docelowa </t>
  </si>
  <si>
    <t>3.5.16</t>
  </si>
  <si>
    <t xml:space="preserve">- konstrukcja stalowa - obiekt nr 2 komplet </t>
  </si>
  <si>
    <t>3.5.17</t>
  </si>
  <si>
    <t xml:space="preserve">- obudowa przedsionka manewrowego </t>
  </si>
  <si>
    <t>3.5.18</t>
  </si>
  <si>
    <t xml:space="preserve">- obudowa korytarza technicznego </t>
  </si>
  <si>
    <t>-węzeł kogeneracyjny OB. Nr 5</t>
  </si>
  <si>
    <t>4.1</t>
  </si>
  <si>
    <t>-fundament</t>
  </si>
  <si>
    <t>4.2</t>
  </si>
  <si>
    <t xml:space="preserve">-dostawa i montaż kontenera </t>
  </si>
  <si>
    <t>III.</t>
  </si>
  <si>
    <t>Budynki i budowle infrastruktura, w tym:</t>
  </si>
  <si>
    <t>10,6 %, w tym:</t>
  </si>
  <si>
    <t>-budynek administracyjno-socjalny - budynek nr 8</t>
  </si>
  <si>
    <t>-roboty ziemne i fundamentowe</t>
  </si>
  <si>
    <t>-roboty żelbetowe</t>
  </si>
  <si>
    <t>-konstrukcja (ściany, strpy. Słupy itp..</t>
  </si>
  <si>
    <t xml:space="preserve">- stan surowy parteru </t>
  </si>
  <si>
    <t>- strop parteru</t>
  </si>
  <si>
    <t xml:space="preserve">- stan surowy I kondygnacja </t>
  </si>
  <si>
    <t xml:space="preserve">- strop I kondygnacja </t>
  </si>
  <si>
    <t xml:space="preserve">- klatka schodowa I kodygnacja </t>
  </si>
  <si>
    <t xml:space="preserve">- katka schodowa parteru </t>
  </si>
  <si>
    <t xml:space="preserve">-dach </t>
  </si>
  <si>
    <t>1.3.1</t>
  </si>
  <si>
    <t xml:space="preserve">- strop </t>
  </si>
  <si>
    <t>1.3.2</t>
  </si>
  <si>
    <t xml:space="preserve">- klatka schodowa dachu </t>
  </si>
  <si>
    <t xml:space="preserve">-elewacje </t>
  </si>
  <si>
    <t>1.4.1</t>
  </si>
  <si>
    <t xml:space="preserve">- izolacja termiczna </t>
  </si>
  <si>
    <t>1.4.2</t>
  </si>
  <si>
    <t xml:space="preserve">- tynk docelowy </t>
  </si>
  <si>
    <t xml:space="preserve">-prace wykończeniowe </t>
  </si>
  <si>
    <t>1.5.1</t>
  </si>
  <si>
    <t xml:space="preserve">-Parter </t>
  </si>
  <si>
    <t>1.5.1.1</t>
  </si>
  <si>
    <t>- warstyw podposadzkowe parteru</t>
  </si>
  <si>
    <t>1.5.1.2</t>
  </si>
  <si>
    <t xml:space="preserve">- instalacja podposadzkowa wod-kan parteru </t>
  </si>
  <si>
    <t>1.5.1.3</t>
  </si>
  <si>
    <t xml:space="preserve">- instalacja CO  parteru </t>
  </si>
  <si>
    <t>1.5.1.4</t>
  </si>
  <si>
    <t xml:space="preserve">- instalacja wentylacji parteru </t>
  </si>
  <si>
    <t>1.5.1.5</t>
  </si>
  <si>
    <t xml:space="preserve">- instalacja klimatyzacji parteru </t>
  </si>
  <si>
    <t>1.5.1.6</t>
  </si>
  <si>
    <t xml:space="preserve">- instalacja p.poż parteru </t>
  </si>
  <si>
    <t>1.5.1.7</t>
  </si>
  <si>
    <t>- chudy beton - parter</t>
  </si>
  <si>
    <t>1.5.1.8</t>
  </si>
  <si>
    <t>- posadzki parteru - wylewki</t>
  </si>
  <si>
    <t>1.5.1.9</t>
  </si>
  <si>
    <t xml:space="preserve">- posadzka parteru - izolacja termiczna </t>
  </si>
  <si>
    <t>1.5.1.10</t>
  </si>
  <si>
    <t>- posadzka parteru - gres</t>
  </si>
  <si>
    <t>1.5.1.11</t>
  </si>
  <si>
    <t>- ścianki działowe parteru - murowane</t>
  </si>
  <si>
    <t>1.5.1.12</t>
  </si>
  <si>
    <t xml:space="preserve">- ścianki działowe parteru - gk </t>
  </si>
  <si>
    <t>1.5.1.13</t>
  </si>
  <si>
    <t xml:space="preserve">- tynki  parteru - ściany </t>
  </si>
  <si>
    <t>1.5.1.14</t>
  </si>
  <si>
    <t xml:space="preserve">- tynki parteru - ściany klatki schodowej </t>
  </si>
  <si>
    <t>1.5.1.15</t>
  </si>
  <si>
    <t xml:space="preserve">- malowanie ścian </t>
  </si>
  <si>
    <t>1.5.1.16</t>
  </si>
  <si>
    <t xml:space="preserve">- malowanie ścian klatki schodwej parteru </t>
  </si>
  <si>
    <t>1.5.1.17</t>
  </si>
  <si>
    <t xml:space="preserve">- sufity podwieszane parteru </t>
  </si>
  <si>
    <t>1.5.1.18</t>
  </si>
  <si>
    <t>-stolarka PCV  parteru</t>
  </si>
  <si>
    <t>1.5.1.19</t>
  </si>
  <si>
    <t xml:space="preserve">- ślusarka aluminiowa parteru </t>
  </si>
  <si>
    <t>1.5.1.20</t>
  </si>
  <si>
    <t xml:space="preserve">- ślusarka drewnopodobna parteru </t>
  </si>
  <si>
    <t>1.5.1.21</t>
  </si>
  <si>
    <t xml:space="preserve">- ślusrka stalowa </t>
  </si>
  <si>
    <t>1.5.1.22</t>
  </si>
  <si>
    <t>- biały montaż  - parter</t>
  </si>
  <si>
    <t>1.5.1.23</t>
  </si>
  <si>
    <t xml:space="preserve">- kotłownia - komplet </t>
  </si>
  <si>
    <t>1.5.2</t>
  </si>
  <si>
    <t xml:space="preserve">-Piętro </t>
  </si>
  <si>
    <t>1.5.2.1</t>
  </si>
  <si>
    <t xml:space="preserve">- instalacja podposadzkowa wod-kan  </t>
  </si>
  <si>
    <t>1.5.2.2</t>
  </si>
  <si>
    <t xml:space="preserve">- instalacja CO   </t>
  </si>
  <si>
    <t>1.5.2.3</t>
  </si>
  <si>
    <t xml:space="preserve">- instalacja wentylacji  </t>
  </si>
  <si>
    <t>1.5.2.4</t>
  </si>
  <si>
    <t xml:space="preserve">- instalacja klimatyzacji </t>
  </si>
  <si>
    <t>1.5.2.5</t>
  </si>
  <si>
    <t xml:space="preserve">- instalacja p.poż  </t>
  </si>
  <si>
    <t>1.5.2.6</t>
  </si>
  <si>
    <t>- posadzki  - wylewki</t>
  </si>
  <si>
    <t>1.5.2.7</t>
  </si>
  <si>
    <t xml:space="preserve">- posadzka  - izolacja termiczna </t>
  </si>
  <si>
    <t>1.5.2.8</t>
  </si>
  <si>
    <t>- posadzka  - gres</t>
  </si>
  <si>
    <t>1.5.2.9</t>
  </si>
  <si>
    <t>- ścianki działowe  - murowane</t>
  </si>
  <si>
    <t>1.5.2.10</t>
  </si>
  <si>
    <t xml:space="preserve">- ścianki działowe - gk </t>
  </si>
  <si>
    <t>1.5.2.11</t>
  </si>
  <si>
    <t xml:space="preserve">- tynki   - ściany </t>
  </si>
  <si>
    <t>1.5.2.12</t>
  </si>
  <si>
    <t xml:space="preserve">- tynki  - ściany klatki schodowej </t>
  </si>
  <si>
    <t>1.5.2.13</t>
  </si>
  <si>
    <t>1.5.2.14</t>
  </si>
  <si>
    <t xml:space="preserve">- malowanie ścian klatki schodwej  </t>
  </si>
  <si>
    <t>1.5.2.15</t>
  </si>
  <si>
    <t xml:space="preserve">- sufity podwieszane  </t>
  </si>
  <si>
    <t>1.5.2.16</t>
  </si>
  <si>
    <t xml:space="preserve">-stolarka PCV  </t>
  </si>
  <si>
    <t>1.5.2.17</t>
  </si>
  <si>
    <t xml:space="preserve">- ślusarka aluminiowa </t>
  </si>
  <si>
    <t>1.5.2.18</t>
  </si>
  <si>
    <t xml:space="preserve">- ślusarka drewnopodobna  </t>
  </si>
  <si>
    <t>1.5.2.19</t>
  </si>
  <si>
    <t xml:space="preserve">- biały montaż  </t>
  </si>
  <si>
    <t>1.5.3</t>
  </si>
  <si>
    <t>-Dach</t>
  </si>
  <si>
    <t>1.5.3.1</t>
  </si>
  <si>
    <t xml:space="preserve">-paroizolacja </t>
  </si>
  <si>
    <t>1.5.3.2</t>
  </si>
  <si>
    <t xml:space="preserve">- termoizolacja </t>
  </si>
  <si>
    <t>1.5.3.3</t>
  </si>
  <si>
    <t xml:space="preserve">- kliny styropianowe </t>
  </si>
  <si>
    <t>1.5.3.4</t>
  </si>
  <si>
    <t xml:space="preserve">- warsty izolacji przeciwilgociowej - papa </t>
  </si>
  <si>
    <t>1.5.3.5</t>
  </si>
  <si>
    <t xml:space="preserve">- hydroizolacja przeciwkorzenna </t>
  </si>
  <si>
    <t>1.5.3.6</t>
  </si>
  <si>
    <t xml:space="preserve">- gewłóknina </t>
  </si>
  <si>
    <t>1.5.3.7</t>
  </si>
  <si>
    <t xml:space="preserve">- substrat ekstensywny drenażowy </t>
  </si>
  <si>
    <t>1.5.3.8</t>
  </si>
  <si>
    <t xml:space="preserve">- dach zielony </t>
  </si>
  <si>
    <t>1.5.3.9</t>
  </si>
  <si>
    <t xml:space="preserve">- barierka ochornna </t>
  </si>
  <si>
    <t>1.5.3.10</t>
  </si>
  <si>
    <t xml:space="preserve">- klatka schodowa - wykonczenia komplet </t>
  </si>
  <si>
    <t xml:space="preserve"> - drogi, place wewnętrzne, parking </t>
  </si>
  <si>
    <t xml:space="preserve">-roboty ziemne </t>
  </si>
  <si>
    <t>2.1.1</t>
  </si>
  <si>
    <t xml:space="preserve">- korytowanie </t>
  </si>
  <si>
    <t>2.1.2</t>
  </si>
  <si>
    <t xml:space="preserve">- profilowanie podbudowy + dowozy </t>
  </si>
  <si>
    <t xml:space="preserve">- podbudowy </t>
  </si>
  <si>
    <t xml:space="preserve">- stablizacja I warstwa </t>
  </si>
  <si>
    <t xml:space="preserve">- stablizacja II warstwa </t>
  </si>
  <si>
    <t>2.2.3</t>
  </si>
  <si>
    <t xml:space="preserve">- izolacja z folii EPHD </t>
  </si>
  <si>
    <t>2.2.4</t>
  </si>
  <si>
    <t xml:space="preserve">- geowłóknina </t>
  </si>
  <si>
    <t xml:space="preserve">-warstwy docelowe </t>
  </si>
  <si>
    <t>- beton</t>
  </si>
  <si>
    <t xml:space="preserve">- dylatacje </t>
  </si>
  <si>
    <t>2.3.3</t>
  </si>
  <si>
    <t>- krawężniki</t>
  </si>
  <si>
    <t xml:space="preserve"> - zagospodarowanie terenu zielenią wysoką i niską</t>
  </si>
  <si>
    <t>-wykonanie nasadzeń</t>
  </si>
  <si>
    <t xml:space="preserve"> - ogrodzenie terenu, bramy wjazdowe, furtki</t>
  </si>
  <si>
    <t xml:space="preserve">- roboty ziemne </t>
  </si>
  <si>
    <t>- roboty montażowe - słupki</t>
  </si>
  <si>
    <t>4.3</t>
  </si>
  <si>
    <t xml:space="preserve">- roboty montażowe - elementy wypełnienia </t>
  </si>
  <si>
    <t>4.4</t>
  </si>
  <si>
    <t>- bramy - dostawa i montaż</t>
  </si>
  <si>
    <t>4.5</t>
  </si>
  <si>
    <t xml:space="preserve">- furtki - dostawa i montaz </t>
  </si>
  <si>
    <t>- budynek warsztatowo garażowy wraz z wyposażeniem - obiekt nr 9</t>
  </si>
  <si>
    <t>5.1</t>
  </si>
  <si>
    <t>5.2</t>
  </si>
  <si>
    <t xml:space="preserve">- roboty fundamentowe </t>
  </si>
  <si>
    <t>5.3</t>
  </si>
  <si>
    <t xml:space="preserve"> -roboty żelbetowe kanału technicznego </t>
  </si>
  <si>
    <t>5.4</t>
  </si>
  <si>
    <t xml:space="preserve">- podsadzka części garażowej </t>
  </si>
  <si>
    <t>5.4.1</t>
  </si>
  <si>
    <t>5.4.2</t>
  </si>
  <si>
    <t xml:space="preserve">- warstwa betonowa docelowa </t>
  </si>
  <si>
    <t>5.4.3</t>
  </si>
  <si>
    <t xml:space="preserve">- warstwa wykończeniowa </t>
  </si>
  <si>
    <t>5.5</t>
  </si>
  <si>
    <t xml:space="preserve">-kontrukcja stalowa </t>
  </si>
  <si>
    <t>5.6</t>
  </si>
  <si>
    <t xml:space="preserve">- roboty murowe </t>
  </si>
  <si>
    <t>5.7</t>
  </si>
  <si>
    <t xml:space="preserve">- strop części murwowanej </t>
  </si>
  <si>
    <t>5.8</t>
  </si>
  <si>
    <t xml:space="preserve">- obudowa dachu  </t>
  </si>
  <si>
    <t>5.8.1</t>
  </si>
  <si>
    <t>- blacha</t>
  </si>
  <si>
    <t>5.8.2</t>
  </si>
  <si>
    <t xml:space="preserve">-izolacja termiczna </t>
  </si>
  <si>
    <t>5.8.3</t>
  </si>
  <si>
    <t xml:space="preserve">- izolacja przeciwwilgociowa </t>
  </si>
  <si>
    <t>5.9</t>
  </si>
  <si>
    <t>- elewacja z płyty</t>
  </si>
  <si>
    <t>5.10</t>
  </si>
  <si>
    <t xml:space="preserve">-roboty wykończeniowe </t>
  </si>
  <si>
    <t>5.10.1</t>
  </si>
  <si>
    <t xml:space="preserve">- tynki wewnętrzne ścian </t>
  </si>
  <si>
    <t>5.10.2</t>
  </si>
  <si>
    <t xml:space="preserve">- posadzka w pomieszczeniach pomocniczych </t>
  </si>
  <si>
    <t>5.10.3</t>
  </si>
  <si>
    <t xml:space="preserve">- gres w pomieszczeniach pomocniczych </t>
  </si>
  <si>
    <t>5.10.4</t>
  </si>
  <si>
    <t xml:space="preserve">- sufit podwieszony w pomieszczeniach pomocniczych </t>
  </si>
  <si>
    <t>5.10.5</t>
  </si>
  <si>
    <t xml:space="preserve">- stolarka </t>
  </si>
  <si>
    <t>5.10.6</t>
  </si>
  <si>
    <t xml:space="preserve">- ślusarka </t>
  </si>
  <si>
    <t>5.10.7</t>
  </si>
  <si>
    <t xml:space="preserve">- komplet klap dymowych </t>
  </si>
  <si>
    <t>5.10.8</t>
  </si>
  <si>
    <t xml:space="preserve">- wentylacja </t>
  </si>
  <si>
    <t>- boks na odpady wielkogabarytowe z wyposażeniem - obiekt nr 7</t>
  </si>
  <si>
    <t>6.1</t>
  </si>
  <si>
    <t>6.2</t>
  </si>
  <si>
    <t>6.3</t>
  </si>
  <si>
    <t>- podsadzka wiaty</t>
  </si>
  <si>
    <t>6.3.1</t>
  </si>
  <si>
    <t>6.3.2</t>
  </si>
  <si>
    <t xml:space="preserve">- konstrukcja murowa ścian  </t>
  </si>
  <si>
    <t>6.4</t>
  </si>
  <si>
    <t>6.5</t>
  </si>
  <si>
    <t xml:space="preserve">- elewacja tynkowana </t>
  </si>
  <si>
    <t>6.6</t>
  </si>
  <si>
    <t xml:space="preserve">- elewacja - elementy stalowe </t>
  </si>
  <si>
    <t>6.7</t>
  </si>
  <si>
    <t>6.7.1</t>
  </si>
  <si>
    <t>IV</t>
  </si>
  <si>
    <t>Uzbrojenie terenu w sieci, w tym:</t>
  </si>
  <si>
    <t>6,5 %, w tym</t>
  </si>
  <si>
    <t xml:space="preserve"> - branża wodociągowa</t>
  </si>
  <si>
    <t>- sieć wody pitnej</t>
  </si>
  <si>
    <t xml:space="preserve">- wykonanie sieci  </t>
  </si>
  <si>
    <t>- przyłącze wodociągowe</t>
  </si>
  <si>
    <t xml:space="preserve">- wykonaie próby szczelności </t>
  </si>
  <si>
    <t>Sieć wody do celów p.poż</t>
  </si>
  <si>
    <t>- wykonaie sieć wody p.poż</t>
  </si>
  <si>
    <t>- studnie STS1 i STS2</t>
  </si>
  <si>
    <t xml:space="preserve">- montaż hydrantów </t>
  </si>
  <si>
    <t xml:space="preserve">- próby szczelności </t>
  </si>
  <si>
    <t xml:space="preserve"> - branża kanalizacji deszczowej</t>
  </si>
  <si>
    <t>-zbiorniki obiekt nr 13</t>
  </si>
  <si>
    <t xml:space="preserve">- chude betony z izolacją </t>
  </si>
  <si>
    <t>2.1.3</t>
  </si>
  <si>
    <t xml:space="preserve">- płyta denna </t>
  </si>
  <si>
    <t>2.1.4</t>
  </si>
  <si>
    <t xml:space="preserve">-sciany </t>
  </si>
  <si>
    <t>2.1.5</t>
  </si>
  <si>
    <t>2.1.6</t>
  </si>
  <si>
    <t xml:space="preserve">- wykończenie i uzbrojenie </t>
  </si>
  <si>
    <t>-sieci</t>
  </si>
  <si>
    <t>- sieć kanalizacji deszczowej czystej</t>
  </si>
  <si>
    <t>2.2.1.1</t>
  </si>
  <si>
    <t>- wykonanie sieci</t>
  </si>
  <si>
    <t>2.2.1.2</t>
  </si>
  <si>
    <t xml:space="preserve">- studnie </t>
  </si>
  <si>
    <t>2.2.1.3</t>
  </si>
  <si>
    <t xml:space="preserve">- próba szczelności </t>
  </si>
  <si>
    <t>- sieć kanalizacji deszczowej brudnej zachodniej</t>
  </si>
  <si>
    <t>2.2.2.1</t>
  </si>
  <si>
    <t>2.2.2.2</t>
  </si>
  <si>
    <t>- studnie i wpusty</t>
  </si>
  <si>
    <t>2.2.2.3</t>
  </si>
  <si>
    <t xml:space="preserve">- separator SEP 3 </t>
  </si>
  <si>
    <t>2.2.2.4</t>
  </si>
  <si>
    <t>- sieć kanalizacji deszczowe brudnejj wschodniej</t>
  </si>
  <si>
    <t>2.2.3.1</t>
  </si>
  <si>
    <t>2.2.3.2</t>
  </si>
  <si>
    <t>2.2.3.3</t>
  </si>
  <si>
    <t xml:space="preserve">- separator SEP 2 </t>
  </si>
  <si>
    <t>2.2.3.4</t>
  </si>
  <si>
    <t>-pompownie: PW, PO,</t>
  </si>
  <si>
    <t>- dostawa i montaż korpusu PW</t>
  </si>
  <si>
    <t>- wyposażenie PW</t>
  </si>
  <si>
    <t>- rozruch PW</t>
  </si>
  <si>
    <t>2.3.4</t>
  </si>
  <si>
    <t>- dostawa i montaż korpusu PO</t>
  </si>
  <si>
    <t>2.3.5</t>
  </si>
  <si>
    <t>- wyposażenie PO</t>
  </si>
  <si>
    <t>2.3.6</t>
  </si>
  <si>
    <t>- rozruch PO</t>
  </si>
  <si>
    <t xml:space="preserve"> - branża elektroenergetyczna</t>
  </si>
  <si>
    <t>-Dostawa i montaż stacji tranformatorowej - prefabrykowany korpus - obiekt nr 16</t>
  </si>
  <si>
    <t xml:space="preserve">-przyłącza ze stacji trasformatorowej do rozdzielnic obiektowych </t>
  </si>
  <si>
    <t>-Dostawa i montaż agregatu prądotwórczego- awaryjnego - obiekt nr 16a</t>
  </si>
  <si>
    <t xml:space="preserve">- pozostałe sieci NN poza budynkami </t>
  </si>
  <si>
    <t xml:space="preserve"> - sieć teletechniczna</t>
  </si>
  <si>
    <t>- wykonanie sieci komputerowej - serwerownia w obiekcie nr 8</t>
  </si>
  <si>
    <t>- wykonanie sieci kompoterowe - instalacje i sieci miedzyobiektowe  w bud. 08 i 12</t>
  </si>
  <si>
    <t xml:space="preserve"> - sieć centralnego ogrzewania c.o.</t>
  </si>
  <si>
    <t>- dostawa i montaż sprzęgła CO ob. . 5A</t>
  </si>
  <si>
    <t>- wykonanie sieci CO</t>
  </si>
  <si>
    <t xml:space="preserve"> - sieć AKPiA</t>
  </si>
  <si>
    <t xml:space="preserve">okablowanie zewnętrzne miedzyobiektowe </t>
  </si>
  <si>
    <t xml:space="preserve">okablowanie wewnetrzne </t>
  </si>
  <si>
    <t xml:space="preserve"> - inne niż wymienione powyżej- kanalizacja odciekowa, sanitarna, biogaz</t>
  </si>
  <si>
    <t>7.1</t>
  </si>
  <si>
    <t>-kanalizacja odciekowa ze zbiornikiem</t>
  </si>
  <si>
    <t>7.1.1</t>
  </si>
  <si>
    <t xml:space="preserve">- zbiornik sedymentacyjny ob.17- izolacja wewnętrzna </t>
  </si>
  <si>
    <t>7.1.2</t>
  </si>
  <si>
    <t xml:space="preserve"> - pompownia P2 - odcieków</t>
  </si>
  <si>
    <t>7.1.3</t>
  </si>
  <si>
    <t>- sieć kanalizacji odciekowej</t>
  </si>
  <si>
    <t>7.1.4</t>
  </si>
  <si>
    <t xml:space="preserve">- próba szczelności kanalizacji odciekowej </t>
  </si>
  <si>
    <t>7.2</t>
  </si>
  <si>
    <t xml:space="preserve">-kanalizacja sanitarna </t>
  </si>
  <si>
    <t>7.2.1</t>
  </si>
  <si>
    <t>- sieć kanalizacji sanitarnej</t>
  </si>
  <si>
    <t>7.2.1.1</t>
  </si>
  <si>
    <t xml:space="preserve">- wykonanie sieci </t>
  </si>
  <si>
    <t>7.2.1.2</t>
  </si>
  <si>
    <t>7.2.2</t>
  </si>
  <si>
    <t xml:space="preserve">- próba kanalizacji sieci sanitarnej </t>
  </si>
  <si>
    <t>7.2.3</t>
  </si>
  <si>
    <t>- SEP 1</t>
  </si>
  <si>
    <t>7.2.4</t>
  </si>
  <si>
    <t xml:space="preserve"> - przyłącze kanalizacyjne ze studnią pomiarową SP</t>
  </si>
  <si>
    <t>7.3</t>
  </si>
  <si>
    <t xml:space="preserve">-sieć biogazu </t>
  </si>
  <si>
    <t>7.3.1</t>
  </si>
  <si>
    <t>- wykonanie sieci biogazu</t>
  </si>
  <si>
    <t>7.3.2</t>
  </si>
  <si>
    <t>- próba szczelności sieci biogazu</t>
  </si>
  <si>
    <t>7.4</t>
  </si>
  <si>
    <t>- sieć kondensatu</t>
  </si>
  <si>
    <t>7.4.1</t>
  </si>
  <si>
    <t>- pompownia P1 - kondensatu</t>
  </si>
  <si>
    <t>7.4.2</t>
  </si>
  <si>
    <t xml:space="preserve">- wykonanie sieci kondensatu </t>
  </si>
  <si>
    <t>7.4.3</t>
  </si>
  <si>
    <t>V.</t>
  </si>
  <si>
    <t>Pozostałe obiekty budowlane,  w tym:</t>
  </si>
  <si>
    <t>3,3 %, w tym</t>
  </si>
  <si>
    <t xml:space="preserve"> - plac dojrzewania kompostu - obiekt nr 10</t>
  </si>
  <si>
    <t xml:space="preserve">-krawężniki </t>
  </si>
  <si>
    <t xml:space="preserve">-zbiornik - obiekt nr 14 </t>
  </si>
  <si>
    <t xml:space="preserve">-sieci odciekowe </t>
  </si>
  <si>
    <t xml:space="preserve"> - plac zagospodarowania gruzu budowlanego</t>
  </si>
  <si>
    <t>-podbudowy</t>
  </si>
  <si>
    <t>VI</t>
  </si>
  <si>
    <t xml:space="preserve">Wyposażenie hali sortowni, w tym: </t>
  </si>
  <si>
    <t>21,9% w tym:</t>
  </si>
  <si>
    <t xml:space="preserve"> - kabiny segregacji ręcznej</t>
  </si>
  <si>
    <t xml:space="preserve"> - przenośniki (razem)</t>
  </si>
  <si>
    <t xml:space="preserve"> - separatory (razem)</t>
  </si>
  <si>
    <t>balistyczny</t>
  </si>
  <si>
    <t>magnietyczny</t>
  </si>
  <si>
    <t xml:space="preserve"> - sita</t>
  </si>
  <si>
    <t xml:space="preserve"> - rozdrabniacz</t>
  </si>
  <si>
    <t xml:space="preserve"> - prasa belująca</t>
  </si>
  <si>
    <t xml:space="preserve"> - stacja odbiorcza balastu</t>
  </si>
  <si>
    <t xml:space="preserve"> -oposeparator NIR</t>
  </si>
  <si>
    <t>VII</t>
  </si>
  <si>
    <t>Wyposażenie części biologicznej, w tym:</t>
  </si>
  <si>
    <t>21,3% w tym:</t>
  </si>
  <si>
    <t xml:space="preserve"> - urządzenia technologiczne (osprzęt) fermentera (np. sondy, podajniki itp.)</t>
  </si>
  <si>
    <t>Dostawa i montaż wyp. tuneli fermentacji ( bez bram ) ob.. Nr 02</t>
  </si>
  <si>
    <t>Dostawa i montaż instalacji podposadzkowej tuneli ob.. Nr 02</t>
  </si>
  <si>
    <t>Dostawa i montaż instalacji nawadniającej tuneli ob.. Nr 02</t>
  </si>
  <si>
    <t>Dostawa i montaż instalacji technologicznej korytarza technicznego ob.. Nr 02</t>
  </si>
  <si>
    <t>Dostawa i montaż zbiornika złego gazu ob.. Nr 02</t>
  </si>
  <si>
    <t>Dostawa i montaż wyp. zbiornika fermentacyjnego ob. Nr 03</t>
  </si>
  <si>
    <t>Dostawa i montaż wyp. zbiornika sedymentacji ob. Nr 17</t>
  </si>
  <si>
    <t>Dostawa i montaż pochodni ob. Nr 20</t>
  </si>
  <si>
    <t xml:space="preserve"> - instalacja i urządzenia oczyszczania powietrza poprocesowego Ob. 15 i 19</t>
  </si>
  <si>
    <t>-płuczka</t>
  </si>
  <si>
    <t xml:space="preserve">-dostawa i  montaż Skrubera </t>
  </si>
  <si>
    <t>- wykonanie istalacji technologicznej powietrza do oczyszczenia</t>
  </si>
  <si>
    <t>- biofiltr i pomieszczenie skrubera ob. 15 i 19</t>
  </si>
  <si>
    <t xml:space="preserve">- roboty ziemne  </t>
  </si>
  <si>
    <t xml:space="preserve">- robot żelbetowe </t>
  </si>
  <si>
    <t xml:space="preserve">- chude betony </t>
  </si>
  <si>
    <t xml:space="preserve">- płyta </t>
  </si>
  <si>
    <t xml:space="preserve">- ściany </t>
  </si>
  <si>
    <t>- wykończenie obiektów 15 i 19</t>
  </si>
  <si>
    <t xml:space="preserve">- dostawa i montaż  rusztu z podporami </t>
  </si>
  <si>
    <t>- wykonanie izolacji wewnętrznej ( folia PEHD )</t>
  </si>
  <si>
    <t xml:space="preserve">- dostawa i montaż złoża biofiltracyjnego </t>
  </si>
  <si>
    <t xml:space="preserve">- instalacja systemu zraszania </t>
  </si>
  <si>
    <t xml:space="preserve">- dostawa i montaż szandorów </t>
  </si>
  <si>
    <t xml:space="preserve">- wykończenie ścian biofitra i pomieszczzenie skrubera  z obróbkami </t>
  </si>
  <si>
    <t xml:space="preserve">-wentylacja pomieszczenia Skrubera </t>
  </si>
  <si>
    <t xml:space="preserve"> - inne niż wymienione powyżej - wyposażenie dodoatkowe</t>
  </si>
  <si>
    <t xml:space="preserve">Bramy do tuneli fermentacji </t>
  </si>
  <si>
    <t>3.1.1</t>
  </si>
  <si>
    <t>Dostawa i montaż oscieznic bram gazoszczelnych</t>
  </si>
  <si>
    <t>3.1.2</t>
  </si>
  <si>
    <t>Dostawa i montaż  bram gazoszczelnych</t>
  </si>
  <si>
    <t xml:space="preserve">- pomieszczenie serowni z rozdzielnia - obiekt nr 18 </t>
  </si>
  <si>
    <t>VIII</t>
  </si>
  <si>
    <t>Wyposażenie węzła kogeneracji 4, 4a, 4b</t>
  </si>
  <si>
    <t>5,0% w tym:</t>
  </si>
  <si>
    <t xml:space="preserve"> - urządzenia i instalacja transportu biogazu obiekt nr 4b </t>
  </si>
  <si>
    <t xml:space="preserve">-fundament </t>
  </si>
  <si>
    <t xml:space="preserve">-dostawa i montaż </t>
  </si>
  <si>
    <t xml:space="preserve"> - urządzenia i instalacja oczyszczania biogazu obiekt 4, 4a</t>
  </si>
  <si>
    <t xml:space="preserve"> - urządzenia i instalacja stacji kogeneracji - obiekt nr 5</t>
  </si>
  <si>
    <t xml:space="preserve">-przyłącza agregatu </t>
  </si>
  <si>
    <t xml:space="preserve">-dostawa i montaż jednostki kogeneracyjnej </t>
  </si>
  <si>
    <t xml:space="preserve"> - inne niż wymienione powyżej - podłączenia instalacyjne</t>
  </si>
  <si>
    <t>IX</t>
  </si>
  <si>
    <t>Kocioł rozruchowy, wraz z wyposażeniem:</t>
  </si>
  <si>
    <t>0,4% w tym:</t>
  </si>
  <si>
    <t>kocioł rozruchowy na olej opałowy / gaz / lub biogaz</t>
  </si>
  <si>
    <t>urządzenia i instalacje, oprzyrządowanie kotła</t>
  </si>
  <si>
    <t>X</t>
  </si>
  <si>
    <t>Wyposażenie obiektów infrastruktury, w tym:</t>
  </si>
  <si>
    <t>4,4% w tym:</t>
  </si>
  <si>
    <t xml:space="preserve"> - wagi samochodowe - obiekt nr 12</t>
  </si>
  <si>
    <t>fundament wagi</t>
  </si>
  <si>
    <t>-fundament kontenera</t>
  </si>
  <si>
    <t>dostawa i montaż kontenera</t>
  </si>
  <si>
    <t>-dostawa i montaż wagi</t>
  </si>
  <si>
    <t>dostawa i montaż kontrukcji zadaszenia</t>
  </si>
  <si>
    <t xml:space="preserve"> - myjka ciśnieniowa samochodów wyjeżdzających - obiekt nr 11</t>
  </si>
  <si>
    <t xml:space="preserve"> - pozostałe obiekty infrastruktury (mała architektura) -tj magazyn na materiały niebezpieczne  obiekt nr 6</t>
  </si>
  <si>
    <t>,</t>
  </si>
  <si>
    <t xml:space="preserve"> - inne niż wymienione powyżej - sprzęt mobilny, kontanery, pojemniki</t>
  </si>
  <si>
    <t xml:space="preserve">-ładowarka </t>
  </si>
  <si>
    <t>-wózek z osprzętem</t>
  </si>
  <si>
    <t>-czyszczarka</t>
  </si>
  <si>
    <t>-zamiatarka  z pługiem</t>
  </si>
  <si>
    <t>-sito mobilne z serwisem</t>
  </si>
  <si>
    <t>4.6</t>
  </si>
  <si>
    <t>-rębarka</t>
  </si>
  <si>
    <t>4.7</t>
  </si>
  <si>
    <t>-kontenery+pojemniki</t>
  </si>
  <si>
    <t>XI.</t>
  </si>
  <si>
    <t>Wyposażenie budynku administracyjno-socjalnego - część administracyjna, w tym:</t>
  </si>
  <si>
    <t>0,3% w tym:</t>
  </si>
  <si>
    <t xml:space="preserve"> - pomieszczenia biurowe </t>
  </si>
  <si>
    <t xml:space="preserve"> - sala konferencyjna</t>
  </si>
  <si>
    <t xml:space="preserve"> - sala konferencyjna mała</t>
  </si>
  <si>
    <t xml:space="preserve"> - archiwum </t>
  </si>
  <si>
    <t xml:space="preserve"> - magazynki porządkowe</t>
  </si>
  <si>
    <t>XII.</t>
  </si>
  <si>
    <t>Instalacje elektryczne i Aparatura Kontrolno-Pomiarowa i Automatyka - AKPiA, w tym:</t>
  </si>
  <si>
    <t>3,1 %, w tym</t>
  </si>
  <si>
    <t xml:space="preserve"> - instalacje elektryczne </t>
  </si>
  <si>
    <t xml:space="preserve">-uzyskanie waruknów przyłaczeniowych </t>
  </si>
  <si>
    <t xml:space="preserve">-fermentacja </t>
  </si>
  <si>
    <t xml:space="preserve">-sortownia </t>
  </si>
  <si>
    <t xml:space="preserve">-budynek biurowy </t>
  </si>
  <si>
    <t xml:space="preserve">-budynek warsztatowo-garażowy </t>
  </si>
  <si>
    <t>-kogeneracja , odsiarczanie, oświetlenie zew. -okablowanie itp..</t>
  </si>
  <si>
    <t>-Boksy i wiaty</t>
  </si>
  <si>
    <t xml:space="preserve">- Dostawa i montaż wyposażenia stacji transformatorowej - transformator </t>
  </si>
  <si>
    <t xml:space="preserve">-Dostawa i montaż oświetlenia terenu - latarnie </t>
  </si>
  <si>
    <t xml:space="preserve"> - AKPiA </t>
  </si>
  <si>
    <t xml:space="preserve">stacja dyspozytorska </t>
  </si>
  <si>
    <t>Dostawa i montaż szafy AKPiA w dyspozytornii</t>
  </si>
  <si>
    <t>Dostawa wyposażenia stacji dyspozytorskiej - meble, komputer, monitor, drukarka.</t>
  </si>
  <si>
    <t>oprogramowanie stacji</t>
  </si>
  <si>
    <t xml:space="preserve">-Dostawa i montaż aparatury AKPiA ( pomiary radarowe, pływakowe i hydrostatyczne pompowni, analizator sieci stacji trafo, czujniki pomiarowe  biofiltra z przetwornikiem, czujniki temperatury sprzęgła hydraulicznego itp..) </t>
  </si>
  <si>
    <t>- dostawa i montaż szafek sterowania pompowniami PO, PW, P1, P2</t>
  </si>
  <si>
    <t xml:space="preserve"> - telewizja przemysłowa</t>
  </si>
  <si>
    <t xml:space="preserve"> - instalacja sygnalizacji pożaru</t>
  </si>
  <si>
    <t xml:space="preserve"> - system sygnalizacji włamania i napadu</t>
  </si>
  <si>
    <t xml:space="preserve"> - system detekcji gazu</t>
  </si>
  <si>
    <t xml:space="preserve"> - inne niż wymienione powyżej - przyłacza do głównych szaf technologicznych</t>
  </si>
  <si>
    <t>XIII</t>
  </si>
  <si>
    <t>Rozruch, próby końcowe, próby eksploatacyjne 
i szkolenia - do osiągnięcia parametrów gwarantowanych, w tym:</t>
  </si>
  <si>
    <t>0,6% w tym:</t>
  </si>
  <si>
    <t>rozruch na sucho</t>
  </si>
  <si>
    <t>rozruch linii technologicznej sortowania odpadów</t>
  </si>
  <si>
    <t>rozruch linii technologicznej kompostowania</t>
  </si>
  <si>
    <t>rozruch bloku fermentacji</t>
  </si>
  <si>
    <t>eksploatacja przy udziale Wykonawcy (EPUW)</t>
  </si>
  <si>
    <t>szkolenia pracowników</t>
  </si>
  <si>
    <t>inne niż wymienione powyżej</t>
  </si>
  <si>
    <t>odbiór przez służby ( PSP ,Sanepid )</t>
  </si>
  <si>
    <t xml:space="preserve">Odbiory do użytkowania przez PINB </t>
  </si>
  <si>
    <t>XIV</t>
  </si>
  <si>
    <t>inne niż wymienione powyżej*</t>
  </si>
  <si>
    <t>1,3% w tym:</t>
  </si>
  <si>
    <t>gwarancje</t>
  </si>
  <si>
    <t>ubezpieczenia</t>
  </si>
  <si>
    <t>wadia</t>
  </si>
  <si>
    <t>RAZEM</t>
  </si>
  <si>
    <t>netto</t>
  </si>
  <si>
    <r>
      <rPr>
        <sz val="17"/>
        <rFont val="Arial"/>
        <family val="2"/>
      </rPr>
      <t xml:space="preserve">                        </t>
    </r>
    <r>
      <rPr>
        <b/>
        <sz val="17"/>
        <rFont val="Arial"/>
        <family val="2"/>
      </rPr>
      <t>PROTOKÓ</t>
    </r>
    <r>
      <rPr>
        <b/>
        <sz val="17"/>
        <color indexed="8"/>
        <rFont val="Arial"/>
        <family val="2"/>
      </rPr>
      <t>Ł ZAAWANSOWANIA ROBÓT za okres  30.09.2016 - 08.11.2016</t>
    </r>
  </si>
  <si>
    <t xml:space="preserve">Budowa Zakładu Zagospodarowania Odpadów wraz z zakupem niezbędnych maszyn i urządzeń w miejscowości Wólka Rokicka, Gmina Lubartów” w ramach projektu pn. „Budowa nowoczesnego systemu gospodarki odpadami, rekultywacja nieczynnych składowisk oraz usuwanie azbestu na terenie gmin należących do Związku Komunalnego Gmin Ziemi Lubartowskiej” </t>
  </si>
  <si>
    <r>
      <rPr>
        <sz val="17"/>
        <color indexed="8"/>
        <rFont val="Arial"/>
        <family val="2"/>
      </rPr>
      <t xml:space="preserve">                   Do umowy nr  272.03.2015  z dnia:   </t>
    </r>
    <r>
      <rPr>
        <b/>
        <sz val="17"/>
        <color indexed="8"/>
        <rFont val="Arial"/>
        <family val="2"/>
      </rPr>
      <t>11.06.2015 r.</t>
    </r>
    <r>
      <rPr>
        <sz val="17"/>
        <color indexed="8"/>
        <rFont val="Arial"/>
        <family val="2"/>
      </rPr>
      <t xml:space="preserve">  sporządzony dnia:   </t>
    </r>
    <r>
      <rPr>
        <b/>
        <sz val="17"/>
        <color indexed="8"/>
        <rFont val="Arial"/>
        <family val="2"/>
      </rPr>
      <t xml:space="preserve"> 08.11.2016 r.   </t>
    </r>
    <r>
      <rPr>
        <sz val="17"/>
        <color indexed="8"/>
        <rFont val="Arial"/>
        <family val="2"/>
      </rPr>
      <t xml:space="preserve"> przy udziale przedstawicieli:</t>
    </r>
  </si>
  <si>
    <r>
      <rPr>
        <b/>
        <sz val="17"/>
        <color indexed="8"/>
        <rFont val="Arial"/>
        <family val="2"/>
      </rPr>
      <t xml:space="preserve">             ZAMAWIAJĄCEGO: </t>
    </r>
    <r>
      <rPr>
        <sz val="17"/>
        <color indexed="8"/>
        <rFont val="Arial"/>
        <family val="2"/>
      </rPr>
      <t xml:space="preserve">Związek Komunalny Gmin Ziemi Lubartowskiej                                                            Krzysztof Grzegorczyk              </t>
    </r>
  </si>
  <si>
    <r>
      <rPr>
        <sz val="17"/>
        <rFont val="Arial"/>
        <family val="2"/>
      </rPr>
      <t xml:space="preserve">             </t>
    </r>
    <r>
      <rPr>
        <b/>
        <sz val="17"/>
        <rFont val="Arial"/>
        <family val="2"/>
      </rPr>
      <t>INŻYNIERA KONTRAKTU :</t>
    </r>
    <r>
      <rPr>
        <sz val="17"/>
        <rFont val="Arial"/>
        <family val="2"/>
      </rPr>
      <t xml:space="preserve"> Zamojska Dyrekcji Inwestycji „ZDI” Sp. z o.o.                                                         Daniel Niderla </t>
    </r>
  </si>
  <si>
    <r>
      <rPr>
        <b/>
        <sz val="17"/>
        <color indexed="8"/>
        <rFont val="Arial"/>
        <family val="2"/>
      </rPr>
      <t xml:space="preserve">             WYKONAWCY: </t>
    </r>
    <r>
      <rPr>
        <sz val="17"/>
        <color indexed="8"/>
        <rFont val="Arial"/>
        <family val="2"/>
      </rPr>
      <t xml:space="preserve">INSTAL WARSZAWA S.A., ul. Siennicka 29, 04-394 Warszawa                                        Karol Górlicki  Grzegorz Fura </t>
    </r>
  </si>
  <si>
    <t>L.p</t>
  </si>
  <si>
    <t>Element (rodzaj robót)</t>
  </si>
  <si>
    <t>Wartość robót wg harmonogramu rzeczowo-finansowego (zł)</t>
  </si>
  <si>
    <r>
      <rPr>
        <sz val="17"/>
        <rFont val="Arial"/>
        <family val="2"/>
      </rPr>
      <t xml:space="preserve">Wartość robót wg harmonogramu rzeczowo-finansowego 
</t>
    </r>
    <r>
      <rPr>
        <b/>
        <sz val="17"/>
        <color indexed="10"/>
        <rFont val="Arial"/>
        <family val="2"/>
      </rPr>
      <t xml:space="preserve"> </t>
    </r>
    <r>
      <rPr>
        <sz val="17"/>
        <rFont val="Arial"/>
        <family val="2"/>
      </rPr>
      <t>(zł)</t>
    </r>
  </si>
  <si>
    <t>Stopień zaawansowania robót  (%)</t>
  </si>
  <si>
    <t>Wartość robót od początku budowy (zł)</t>
  </si>
  <si>
    <t>Wartość robót wykonanych        wg poprzednich  protokołów (zł)</t>
  </si>
  <si>
    <t xml:space="preserve">Stopień zawansowanie prac w danym miesiacu </t>
  </si>
  <si>
    <t>Wartość robót wykonanych                          w okresie rozliczeniowym                                 (zł)</t>
  </si>
  <si>
    <t>Przekazanie projektu wstepnego do akceptacji Zamawiającego i Inzyniera Kontraktu</t>
  </si>
  <si>
    <t>Zkceptacja projektu wstepnego przez Zamawiającego i Inzyniera Kontraktu</t>
  </si>
  <si>
    <t>Przekazanie projektu technologicznego do akceptacji Zamawiającego i Inzyniera Kontraktu</t>
  </si>
  <si>
    <t>Zkceptacja projektu technologicznego przez Zamawiającego i Inzyniera Kontraktu</t>
  </si>
  <si>
    <t xml:space="preserve">Obiekt nr 1 </t>
  </si>
  <si>
    <t xml:space="preserve">Obiekt nr 2 </t>
  </si>
  <si>
    <t xml:space="preserve">Obiekt nr 3 </t>
  </si>
  <si>
    <t>Obiekty nr 4 , 4a , 4b</t>
  </si>
  <si>
    <t>Obiekty nr 5 i 5a</t>
  </si>
  <si>
    <t xml:space="preserve">Obiekt nr 6 </t>
  </si>
  <si>
    <t>Obiekty nr 7 i 9</t>
  </si>
  <si>
    <t xml:space="preserve">Obiekt nr 8 </t>
  </si>
  <si>
    <t xml:space="preserve">Obiekt nr 10 </t>
  </si>
  <si>
    <t xml:space="preserve">Sieć kanalizacji deszczowej i sanitarnej </t>
  </si>
  <si>
    <t xml:space="preserve"> - hala sortowni, z boksami na odpady segregowane -obiekt nr 1</t>
  </si>
  <si>
    <t>-roboty ziemne i żelbetowe</t>
  </si>
  <si>
    <t xml:space="preserve">-posadzka </t>
  </si>
  <si>
    <t xml:space="preserve">-warstwa decelowa </t>
  </si>
  <si>
    <t xml:space="preserve">-montaż konstrukcji stalowej </t>
  </si>
  <si>
    <t xml:space="preserve">-obudowa i pokrycie  dachu </t>
  </si>
  <si>
    <t xml:space="preserve">- obudowa z płyt warstwowych </t>
  </si>
  <si>
    <t xml:space="preserve">- strop z blachy stalowej </t>
  </si>
  <si>
    <t xml:space="preserve">- ocieplenie z  izolacji termicznej </t>
  </si>
  <si>
    <t xml:space="preserve">-izolacja przeciwodna - membrana </t>
  </si>
  <si>
    <t xml:space="preserve">- obróbki dekarskie ścian i dachu </t>
  </si>
  <si>
    <t>-odwodnienienie dachu</t>
  </si>
  <si>
    <t xml:space="preserve">- stolarka , ślusarka , naświetla </t>
  </si>
  <si>
    <t xml:space="preserve">-stolarka - dostawa i montaż </t>
  </si>
  <si>
    <t xml:space="preserve">-ślusarka - dostawa i montaż </t>
  </si>
  <si>
    <t xml:space="preserve">-naświetla z klapami dymowymi +sterowanie </t>
  </si>
  <si>
    <t xml:space="preserve"> - instalacja fermentacji z instalacją odsiarczania gazu - obiekt nr 2</t>
  </si>
  <si>
    <t xml:space="preserve">-roboty żelbetowe kompostowni </t>
  </si>
  <si>
    <t>3.2.1.</t>
  </si>
  <si>
    <t xml:space="preserve">-warstwa podkładowa z izolacjami </t>
  </si>
  <si>
    <t xml:space="preserve">-płyta denna </t>
  </si>
  <si>
    <t xml:space="preserve"> </t>
  </si>
  <si>
    <t>3.2.5.</t>
  </si>
  <si>
    <t xml:space="preserve">-zbiornik fermentacji - obiekt nr 3 </t>
  </si>
  <si>
    <t>-ściany +0 do +6</t>
  </si>
  <si>
    <t>- roboty fundamentowe elementów zew</t>
  </si>
  <si>
    <t xml:space="preserve">-zbiornik sedymntacji - 17 - komplet </t>
  </si>
  <si>
    <t>- obiekt nr 2  zbiornik złego gazu - komplet</t>
  </si>
  <si>
    <t xml:space="preserve"> - węzeł kogeneracyjny - obiekt nr 5 </t>
  </si>
  <si>
    <t xml:space="preserve">-dostawa i montaż kontenera  </t>
  </si>
  <si>
    <t xml:space="preserve"> - budynek administracyjno-socjalny obiekt nr 8</t>
  </si>
  <si>
    <t xml:space="preserve">- roboty zelbetowe </t>
  </si>
  <si>
    <t>-konstrukcja ( ściany ,stropy , słupy itp..)</t>
  </si>
  <si>
    <t xml:space="preserve">- wykonanie nasadzeń </t>
  </si>
  <si>
    <t>- posadzka wiaty</t>
  </si>
  <si>
    <t>6.8</t>
  </si>
  <si>
    <t>6.9</t>
  </si>
  <si>
    <t>6.9.1</t>
  </si>
  <si>
    <t>IV.</t>
  </si>
  <si>
    <t xml:space="preserve">- wykonanie próby szczelności </t>
  </si>
  <si>
    <t>- wykonanie sieć wody p.poż</t>
  </si>
  <si>
    <t>-Dostawa i montaż agregatu prądotwórczego- awaryjnego -obiekt nr 16a</t>
  </si>
  <si>
    <t>- wykonanie sieci komputerowej - serwerownia</t>
  </si>
  <si>
    <t xml:space="preserve"> - plac dojrzewania kompostu obiekt nr 10</t>
  </si>
  <si>
    <t>-krawęzniki</t>
  </si>
  <si>
    <t>-zbiornik - obiekt nr 14</t>
  </si>
  <si>
    <t xml:space="preserve">balistyczny </t>
  </si>
  <si>
    <t xml:space="preserve">magnetyczny </t>
  </si>
  <si>
    <t xml:space="preserve"> - oposeparator NIR</t>
  </si>
  <si>
    <t xml:space="preserve"> - instalacja i urządzenia oczyszczania powietrza poprocesowego - obiekt nr 15 i 19</t>
  </si>
  <si>
    <t>- biofiltr i pomieszczenie Skrubera  - obiekt nr 15 i 19</t>
  </si>
  <si>
    <t xml:space="preserve">- wykończenie </t>
  </si>
  <si>
    <t xml:space="preserve">- wykończenie ścian biofitra z obróbkami </t>
  </si>
  <si>
    <t xml:space="preserve">- pomieszczenie sterowni z rozdzielnia - obiekt nr 18 </t>
  </si>
  <si>
    <t>Wyposażenie węzła kogeneracji:</t>
  </si>
  <si>
    <t xml:space="preserve"> - urządzenia i instalacja transportu biogazu - obiekt nr 4b</t>
  </si>
  <si>
    <t xml:space="preserve"> - urządzenia i instalacja oczyszczania biogazu - obiekt nr 4 ,4a</t>
  </si>
  <si>
    <t xml:space="preserve"> - urządzenia i instalacja stacji kogeneracji- obiekt nr 5</t>
  </si>
  <si>
    <t>-przyłącza agregatu</t>
  </si>
  <si>
    <t>-dostawa i montaż jednostki kogeneracyjnej</t>
  </si>
  <si>
    <t xml:space="preserve"> - inne niż wymienione powyżej - podłączenia instalacyjne </t>
  </si>
  <si>
    <t xml:space="preserve"> - pozostałe obiekty infrastruktury (mała architektura) - obiekt nr 6</t>
  </si>
  <si>
    <t>RAZEM NETTO</t>
  </si>
  <si>
    <t>Ogółem netto</t>
  </si>
  <si>
    <t xml:space="preserve"> ZAMAWIAJĄCY 
(Data i podpis)</t>
  </si>
  <si>
    <t>INŻYNIER KONTRAKTU 
( Data i podpis )</t>
  </si>
  <si>
    <t>WYKONAWCA 
(Data i podpis)</t>
  </si>
  <si>
    <t>Załącznik nr 2 do Raportu Miesięcznego nr 16</t>
  </si>
  <si>
    <t>Wartość robót wykonanych od początku Kontraktu narastająco (zł)</t>
  </si>
  <si>
    <t>Procentowy udział robót wykonanych od początku Kontraktu (%)</t>
  </si>
  <si>
    <t>Wartość robót wykonanych wg poprzedniego okresu sprawozdawczego  (zł)</t>
  </si>
  <si>
    <t>Wartość robót zrealizaowanych w okresie sprawozdawczwym (zł)</t>
  </si>
  <si>
    <t>Procentowy udział robót wykonanych w okresie sprawozdawczym (%)</t>
  </si>
  <si>
    <t>Data zakończenia</t>
  </si>
  <si>
    <t>A</t>
  </si>
  <si>
    <t>B</t>
  </si>
  <si>
    <t>C</t>
  </si>
  <si>
    <t>D</t>
  </si>
  <si>
    <t>E=G+H</t>
  </si>
  <si>
    <t>F</t>
  </si>
  <si>
    <t>G</t>
  </si>
  <si>
    <t>H</t>
  </si>
  <si>
    <t>J</t>
  </si>
  <si>
    <t>K</t>
  </si>
  <si>
    <t>30 11 2016</t>
  </si>
  <si>
    <t xml:space="preserve">30 11 2016 </t>
  </si>
  <si>
    <t xml:space="preserve"> - hala sortowni, z boksami na odpady segregowane</t>
  </si>
  <si>
    <t>- stolarka , ślusarka , naświetla itp..</t>
  </si>
  <si>
    <t xml:space="preserve"> - instalacja fermentacji z instalacją odsiarczania gazu</t>
  </si>
  <si>
    <t xml:space="preserve">-zbiornik fermentacji </t>
  </si>
  <si>
    <t>- obiekt zbiornik złego gazu - komplet</t>
  </si>
  <si>
    <t xml:space="preserve"> - węzeł kogeneracyjny </t>
  </si>
  <si>
    <t xml:space="preserve"> - budynek administracyjno-socjalny</t>
  </si>
  <si>
    <t xml:space="preserve">- krawęzniki </t>
  </si>
  <si>
    <t>-opracowanie planu nasadzeń</t>
  </si>
  <si>
    <t>- budynek warsztatowo garażowy wraz z wyposażeniem</t>
  </si>
  <si>
    <t>31 11 2016</t>
  </si>
  <si>
    <t>32 11 2016</t>
  </si>
  <si>
    <t>33 11 2016</t>
  </si>
  <si>
    <t>34 11 2016</t>
  </si>
  <si>
    <t xml:space="preserve">-zbiorniki podziemne </t>
  </si>
  <si>
    <t>-pompownie</t>
  </si>
  <si>
    <t xml:space="preserve">-stacja tranformatorowa </t>
  </si>
  <si>
    <t xml:space="preserve">-przyłącze SN z siecią przesyłową </t>
  </si>
  <si>
    <t>-instalacja agregatu prądotwórczego 110kW</t>
  </si>
  <si>
    <t xml:space="preserve">-sieci NN poza budynkam </t>
  </si>
  <si>
    <t xml:space="preserve"> - plac dojrzewania kompostu</t>
  </si>
  <si>
    <t>31 12 2015</t>
  </si>
  <si>
    <t xml:space="preserve">-zbiornik </t>
  </si>
  <si>
    <t xml:space="preserve"> - inne niż wymienione powyżej - oposeparator NIR </t>
  </si>
  <si>
    <t xml:space="preserve"> - instalacja i urządzenia oczyszczania powietrza poprocesowego</t>
  </si>
  <si>
    <t xml:space="preserve">-wkład biofiltra z wkładkami </t>
  </si>
  <si>
    <t xml:space="preserve">wykończenia </t>
  </si>
  <si>
    <t xml:space="preserve">wentylacja pomieszczenia skrubera </t>
  </si>
  <si>
    <t xml:space="preserve"> - wagi samochodowe</t>
  </si>
  <si>
    <t>3 11 2016</t>
  </si>
  <si>
    <t xml:space="preserve"> - myjka ciśnieniowa samochodów wyjeżdzających</t>
  </si>
  <si>
    <t xml:space="preserve"> - pozostałe obiekty infrastruktury (mała architektura)</t>
  </si>
  <si>
    <t xml:space="preserve">-kompostownia </t>
  </si>
  <si>
    <t>-kogeneracja , odsiarczanie , pochodnie  , oświetlenie zew. itp..</t>
  </si>
  <si>
    <t>-stacja transformatorowa</t>
  </si>
  <si>
    <t xml:space="preserve">-pozostałe </t>
  </si>
  <si>
    <t>31 07 2015</t>
  </si>
  <si>
    <t>31 07 215</t>
  </si>
  <si>
    <t>SUMA ( bez prac projektowych)</t>
  </si>
  <si>
    <t>Dokumentacja projektowa zgodnie z załacznikiem nr 1</t>
  </si>
  <si>
    <t xml:space="preserve">RAZEM Kontrakt </t>
  </si>
  <si>
    <t>Załacznik nr 1 do Raportu miesięcznego nr 16</t>
  </si>
  <si>
    <t>projekt budowlany (kompletny do uzyskania pozwolenia na budowę)</t>
  </si>
  <si>
    <t>04 09 2015</t>
  </si>
  <si>
    <t>16 01 2016</t>
  </si>
  <si>
    <t>30 12 2015</t>
  </si>
  <si>
    <t>30 10 2015</t>
  </si>
  <si>
    <t>30 09 2016</t>
  </si>
  <si>
    <t>30 11 2015</t>
  </si>
  <si>
    <t>29 02 2016</t>
  </si>
  <si>
    <t>15 10 2016</t>
  </si>
  <si>
    <t>31 08 2016</t>
  </si>
  <si>
    <r>
      <rPr>
        <b/>
        <sz val="12"/>
        <color indexed="8"/>
        <rFont val="Tahoma"/>
        <family val="2"/>
      </rPr>
      <t xml:space="preserve">Załącznik nr 1e </t>
    </r>
    <r>
      <rPr>
        <sz val="12"/>
        <color indexed="8"/>
        <rFont val="Tahoma"/>
        <family val="2"/>
      </rPr>
      <t>-  wykaz sprzętu elektronicznego</t>
    </r>
  </si>
  <si>
    <t>Przedmiot ubezpieczenia:</t>
  </si>
  <si>
    <t xml:space="preserve">Rok produkcji </t>
  </si>
  <si>
    <t>wartość ubezpieczeniowa</t>
  </si>
  <si>
    <t>Suma ubezpieczenia</t>
  </si>
  <si>
    <t>Użytkownik</t>
  </si>
  <si>
    <t>Zestawy komputerowe stacjonarne</t>
  </si>
  <si>
    <t>księgowa brutto</t>
  </si>
  <si>
    <t>ZZO WÓLKA ROKICKA</t>
  </si>
  <si>
    <t>Sprzęt elektroniczny komputerowy przenośny (w tym laptopy, projektory)</t>
  </si>
  <si>
    <t>Serwer</t>
  </si>
  <si>
    <t>Centrala telefoniczna</t>
  </si>
  <si>
    <t>Drukarki i urządzenia wielofunkcyjne</t>
  </si>
  <si>
    <t>Dane i oprogramowanie</t>
  </si>
  <si>
    <t>Aparatura kontrolo – pomiarowa</t>
  </si>
  <si>
    <t>System telewizji przemysłowej - monitoring</t>
  </si>
  <si>
    <t xml:space="preserve">Laptopy </t>
  </si>
  <si>
    <t>2015, 2016, 2017</t>
  </si>
  <si>
    <t>BIURO ZKGZL</t>
  </si>
  <si>
    <t>Komputer typu laptop z Windows</t>
  </si>
  <si>
    <t>PSZOK BRZOSTÓWKA</t>
  </si>
  <si>
    <t>PSZOK LUSZAWA</t>
  </si>
  <si>
    <t>PSZOK NOWODWÓR</t>
  </si>
  <si>
    <t>Razem:</t>
  </si>
  <si>
    <r>
      <rPr>
        <b/>
        <sz val="12"/>
        <color indexed="8"/>
        <rFont val="Tahoma"/>
        <family val="2"/>
      </rPr>
      <t xml:space="preserve">Załącznik nr 1f </t>
    </r>
    <r>
      <rPr>
        <sz val="12"/>
        <color indexed="8"/>
        <rFont val="Tahoma"/>
        <family val="2"/>
      </rPr>
      <t>-  wykaz maszyn i urządzeń od uszkodzeń</t>
    </r>
  </si>
  <si>
    <t>Przedmiot ubezpieczenia</t>
  </si>
  <si>
    <t>Wartość ubezpieczeniowa</t>
  </si>
  <si>
    <t>rok produkcji</t>
  </si>
  <si>
    <t xml:space="preserve">Suma ubezpieczenia </t>
  </si>
  <si>
    <t>1</t>
  </si>
  <si>
    <t>Węzeł kogeneracyjny - spalanie biogazu (gazogenerator z obudową)</t>
  </si>
  <si>
    <t>2</t>
  </si>
  <si>
    <t>Agregat prądotwórczy - awaryjny -obiekt nr 16a</t>
  </si>
  <si>
    <t>3</t>
  </si>
  <si>
    <t xml:space="preserve">Linia technologiczna sortowni + ulepszenie </t>
  </si>
  <si>
    <t>4</t>
  </si>
  <si>
    <t>Przenośnik łańcuchowy</t>
  </si>
  <si>
    <t>5</t>
  </si>
  <si>
    <t>Rębarka</t>
  </si>
  <si>
    <t>6</t>
  </si>
  <si>
    <t>Przenośnik taśmowo – ślizgowy</t>
  </si>
  <si>
    <t>7</t>
  </si>
  <si>
    <t xml:space="preserve">Separator   </t>
  </si>
  <si>
    <t>8</t>
  </si>
  <si>
    <t>9</t>
  </si>
  <si>
    <t>Stacja transformatorowa - prefabrykowany korpus - obiekt nr 16</t>
  </si>
  <si>
    <t>10</t>
  </si>
  <si>
    <t>Trafostacja - obiekt nr 16</t>
  </si>
  <si>
    <t>11</t>
  </si>
  <si>
    <t>Transformator</t>
  </si>
  <si>
    <t>12</t>
  </si>
  <si>
    <t>Rozdrabniacz wstępny</t>
  </si>
  <si>
    <t>13</t>
  </si>
  <si>
    <t>Rozdrabniacz końcowy</t>
  </si>
  <si>
    <t>14</t>
  </si>
  <si>
    <t>Pompownia</t>
  </si>
  <si>
    <t>15</t>
  </si>
  <si>
    <t>16</t>
  </si>
  <si>
    <t>Skruber</t>
  </si>
  <si>
    <r>
      <rPr>
        <b/>
        <sz val="12"/>
        <rFont val="Tahoma"/>
        <family val="2"/>
      </rPr>
      <t xml:space="preserve">Załącznik nr 1g </t>
    </r>
    <r>
      <rPr>
        <sz val="12"/>
        <rFont val="Tahoma"/>
        <family val="2"/>
      </rPr>
      <t>- budynki, budowle, maszyny, urządzenia, wyposażenie</t>
    </r>
  </si>
  <si>
    <t>Lp.</t>
  </si>
  <si>
    <t>PRZEDMIOT UBEZPIECZENIA:</t>
  </si>
  <si>
    <t>KLASYFIKACJA:</t>
  </si>
  <si>
    <t>DATA ODBIORU</t>
  </si>
  <si>
    <t>WARTOŚĆ UBEZPIECZENIOWA</t>
  </si>
  <si>
    <t>SUMA UBEZPIECZENIA</t>
  </si>
  <si>
    <r>
      <rPr>
        <sz val="10"/>
        <rFont val="Tahoma"/>
        <family val="2"/>
      </rPr>
      <t>Hala sortowni z boksami na odpady segregowane wraz z systemem wentylacji i odpylania</t>
    </r>
    <r>
      <rPr>
        <b/>
        <sz val="10"/>
        <rFont val="Tahoma"/>
        <family val="2"/>
      </rPr>
      <t xml:space="preserve"> (obiekt nr 1)</t>
    </r>
  </si>
  <si>
    <t>budynki / budowle</t>
  </si>
  <si>
    <t>30.11.2016 r.</t>
  </si>
  <si>
    <r>
      <rPr>
        <sz val="10"/>
        <rFont val="Tahoma"/>
        <family val="2"/>
      </rPr>
      <t>Hala instalacji fermentacji z komorami i korytarzem technicznym</t>
    </r>
    <r>
      <rPr>
        <b/>
        <sz val="10"/>
        <rFont val="Tahoma"/>
        <family val="2"/>
      </rPr>
      <t xml:space="preserve"> (obiekt nr 2)</t>
    </r>
  </si>
  <si>
    <r>
      <rPr>
        <sz val="10"/>
        <rFont val="Tahoma"/>
        <family val="2"/>
      </rPr>
      <t xml:space="preserve">Wyposażenie części biologicznej - </t>
    </r>
    <r>
      <rPr>
        <b/>
        <sz val="10"/>
        <rFont val="Tahoma"/>
        <family val="2"/>
      </rPr>
      <t>(obiekt nr 2)</t>
    </r>
    <r>
      <rPr>
        <sz val="10"/>
        <rFont val="Tahoma"/>
        <family val="2"/>
      </rPr>
      <t>, wszystkie elementy dostaw WTT, rury, zawory, pompy, opomiarowanie, itp.</t>
    </r>
    <r>
      <rPr>
        <sz val="10"/>
        <color indexed="8"/>
        <rFont val="Tahoma"/>
        <family val="2"/>
      </rPr>
      <t>.</t>
    </r>
  </si>
  <si>
    <r>
      <rPr>
        <sz val="10"/>
        <rFont val="Tahoma"/>
        <family val="2"/>
      </rPr>
      <t xml:space="preserve">Zbiornik fermentacji odcieków / biogazu </t>
    </r>
    <r>
      <rPr>
        <b/>
        <sz val="10"/>
        <rFont val="Tahoma"/>
        <family val="2"/>
      </rPr>
      <t>(obiekt nr 3)</t>
    </r>
  </si>
  <si>
    <r>
      <rPr>
        <sz val="10"/>
        <rFont val="Tahoma"/>
        <family val="2"/>
      </rPr>
      <t xml:space="preserve">Instalacja biogazu i transportu biogazu </t>
    </r>
    <r>
      <rPr>
        <b/>
        <sz val="10"/>
        <rFont val="Tahoma"/>
        <family val="2"/>
      </rPr>
      <t>(obiekty nr 4, 4a i 4b)</t>
    </r>
  </si>
  <si>
    <t>Wyposażenie instalacji odsiarczania</t>
  </si>
  <si>
    <t>maszyny/urządzenia/wyposażenie</t>
  </si>
  <si>
    <r>
      <rPr>
        <sz val="10"/>
        <rFont val="Tahoma"/>
        <family val="2"/>
      </rPr>
      <t>Węzeł kogeneracyjny</t>
    </r>
    <r>
      <rPr>
        <b/>
        <sz val="10"/>
        <rFont val="Tahoma"/>
        <family val="2"/>
      </rPr>
      <t xml:space="preserve"> (obiekt nr 5) </t>
    </r>
  </si>
  <si>
    <r>
      <rPr>
        <sz val="10"/>
        <rFont val="Tahoma"/>
        <family val="2"/>
      </rPr>
      <t xml:space="preserve">Boksy magazynowe odpadów niebezpiecznych </t>
    </r>
    <r>
      <rPr>
        <b/>
        <sz val="10"/>
        <rFont val="Tahoma"/>
        <family val="2"/>
      </rPr>
      <t>(obiekt nr 6)</t>
    </r>
  </si>
  <si>
    <r>
      <rPr>
        <sz val="10"/>
        <rFont val="Tahoma"/>
        <family val="2"/>
      </rPr>
      <t xml:space="preserve">Boksy na odpady wielkogabarytowe </t>
    </r>
    <r>
      <rPr>
        <b/>
        <sz val="10"/>
        <rFont val="Tahoma"/>
        <family val="2"/>
      </rPr>
      <t>(obiekt nr 7)</t>
    </r>
  </si>
  <si>
    <r>
      <rPr>
        <sz val="10"/>
        <rFont val="Tahoma"/>
        <family val="2"/>
      </rPr>
      <t>Budynek administracyjno – socjalny</t>
    </r>
    <r>
      <rPr>
        <b/>
        <sz val="10"/>
        <rFont val="Tahoma"/>
        <family val="2"/>
      </rPr>
      <t xml:space="preserve"> (obiekt nr 8)</t>
    </r>
  </si>
  <si>
    <r>
      <rPr>
        <sz val="10"/>
        <rFont val="Tahoma"/>
        <family val="2"/>
      </rPr>
      <t xml:space="preserve">Budynek warsztatowo – garażowy </t>
    </r>
    <r>
      <rPr>
        <b/>
        <sz val="10"/>
        <rFont val="Tahoma"/>
        <family val="2"/>
      </rPr>
      <t>(obiekt nr 9)</t>
    </r>
  </si>
  <si>
    <r>
      <rPr>
        <sz val="10"/>
        <rFont val="Tahoma"/>
        <family val="2"/>
      </rPr>
      <t xml:space="preserve">Plac dojrzewania kompostu </t>
    </r>
    <r>
      <rPr>
        <b/>
        <sz val="10"/>
        <rFont val="Tahoma"/>
        <family val="2"/>
      </rPr>
      <t>(obiekt nr 10)</t>
    </r>
  </si>
  <si>
    <t>Drogi wewnętrzne z placem manewrowym</t>
  </si>
  <si>
    <r>
      <rPr>
        <sz val="10"/>
        <rFont val="Tahoma"/>
        <family val="2"/>
      </rPr>
      <t xml:space="preserve">Myjka kół i podwozi </t>
    </r>
    <r>
      <rPr>
        <b/>
        <sz val="10"/>
        <rFont val="Tahoma"/>
        <family val="2"/>
      </rPr>
      <t>(obiekt nr 11)</t>
    </r>
  </si>
  <si>
    <r>
      <rPr>
        <sz val="10"/>
        <rFont val="Tahoma"/>
        <family val="2"/>
      </rPr>
      <t>Budynek punktu ewidencji, w tym wagi samochodowe</t>
    </r>
    <r>
      <rPr>
        <b/>
        <sz val="10"/>
        <rFont val="Tahoma"/>
        <family val="2"/>
      </rPr>
      <t xml:space="preserve"> (obiekt nr 12)</t>
    </r>
  </si>
  <si>
    <r>
      <rPr>
        <sz val="10"/>
        <rFont val="Tahoma"/>
        <family val="2"/>
      </rPr>
      <t>Zbiornik wód deszczowych z funkcją ppoż</t>
    </r>
    <r>
      <rPr>
        <b/>
        <sz val="10"/>
        <rFont val="Tahoma"/>
        <family val="2"/>
      </rPr>
      <t xml:space="preserve"> (obiekt nr 13)</t>
    </r>
  </si>
  <si>
    <r>
      <rPr>
        <sz val="10"/>
        <rFont val="Tahoma"/>
        <family val="2"/>
      </rPr>
      <t>Zbiornik ścieków deszczowych z placu oraz zbiornik odcieków z placu dojrzewania</t>
    </r>
    <r>
      <rPr>
        <b/>
        <sz val="10"/>
        <rFont val="Tahoma"/>
        <family val="2"/>
      </rPr>
      <t xml:space="preserve"> (obiekt nr 14)</t>
    </r>
  </si>
  <si>
    <r>
      <rPr>
        <sz val="10"/>
        <rFont val="Tahoma"/>
        <family val="2"/>
      </rPr>
      <t>Biofiltr - skruber naturalny</t>
    </r>
    <r>
      <rPr>
        <b/>
        <sz val="10"/>
        <rFont val="Tahoma"/>
        <family val="2"/>
      </rPr>
      <t xml:space="preserve"> (obiekt nr 15)</t>
    </r>
  </si>
  <si>
    <r>
      <rPr>
        <sz val="10"/>
        <rFont val="Tahoma"/>
        <family val="2"/>
      </rPr>
      <t xml:space="preserve">Wentylatornia </t>
    </r>
    <r>
      <rPr>
        <b/>
        <sz val="10"/>
        <rFont val="Tahoma"/>
        <family val="2"/>
      </rPr>
      <t>(obiekt nr 19)</t>
    </r>
  </si>
  <si>
    <r>
      <rPr>
        <i/>
        <sz val="10"/>
        <rFont val="Tahoma"/>
        <family val="2"/>
      </rPr>
      <t xml:space="preserve">Stacja transformatorowa - prefabrykowany korpus </t>
    </r>
    <r>
      <rPr>
        <b/>
        <i/>
        <sz val="10"/>
        <rFont val="Tahoma"/>
        <family val="2"/>
      </rPr>
      <t>(obiekt nr 16)</t>
    </r>
  </si>
  <si>
    <r>
      <rPr>
        <i/>
        <sz val="10"/>
        <rFont val="Tahoma"/>
        <family val="2"/>
      </rPr>
      <t>Trafostacja</t>
    </r>
    <r>
      <rPr>
        <b/>
        <i/>
        <sz val="10"/>
        <rFont val="Tahoma"/>
        <family val="2"/>
      </rPr>
      <t xml:space="preserve"> (obiekt nr 16)</t>
    </r>
  </si>
  <si>
    <r>
      <rPr>
        <sz val="10"/>
        <rFont val="Tahoma"/>
        <family val="2"/>
      </rPr>
      <t>Zbiornik sedymentacyjny, w tym pompownie, analizatory i czujniki</t>
    </r>
    <r>
      <rPr>
        <b/>
        <sz val="10"/>
        <rFont val="Tahoma"/>
        <family val="2"/>
      </rPr>
      <t xml:space="preserve"> (obiekt nr 17)</t>
    </r>
  </si>
  <si>
    <r>
      <rPr>
        <sz val="10"/>
        <rFont val="Tahoma"/>
        <family val="2"/>
      </rPr>
      <t xml:space="preserve">Budynek z szafami sterowniczymi i rozdzielniami </t>
    </r>
    <r>
      <rPr>
        <b/>
        <sz val="10"/>
        <rFont val="Tahoma"/>
        <family val="2"/>
      </rPr>
      <t>(obiekt nr 18)</t>
    </r>
  </si>
  <si>
    <r>
      <rPr>
        <sz val="10"/>
        <rFont val="Tahoma"/>
        <family val="2"/>
      </rPr>
      <t>Komin, pochodnia</t>
    </r>
    <r>
      <rPr>
        <b/>
        <sz val="10"/>
        <rFont val="Tahoma"/>
        <family val="2"/>
      </rPr>
      <t xml:space="preserve"> (obiekt nr 20)</t>
    </r>
  </si>
  <si>
    <t>Linia technologiczna sortowni + ulepszenie linii technologicznej (576.224,44 zł)</t>
  </si>
  <si>
    <t xml:space="preserve">30.11.2016 r., 03.11.2018 r. </t>
  </si>
  <si>
    <t>Sieci kanalizacyjne i sanitarne</t>
  </si>
  <si>
    <t>Ładowarki, zamiatarki, rębaki, kontenery, przerzucarki, sita, kosiarki, przenośniki, separatory, myjki, wózki, wiertarki, pompownie, spawarki, itp..</t>
  </si>
  <si>
    <t>Ogrodzenie terenu, w tym bramy wjazdowe</t>
  </si>
  <si>
    <t>Zieleń</t>
  </si>
  <si>
    <t>inne</t>
  </si>
  <si>
    <t>kotłownia kontenerowa</t>
  </si>
  <si>
    <t>05.05.2017 r.</t>
  </si>
  <si>
    <t>filtr węglowy</t>
  </si>
  <si>
    <t>05.07.2018 r.</t>
  </si>
  <si>
    <t>kontenery</t>
  </si>
  <si>
    <t>dystrybutor paliwa</t>
  </si>
  <si>
    <t>23.10.2018 r.</t>
  </si>
  <si>
    <t>pojemniki, kontenery itp..</t>
  </si>
  <si>
    <t>2014, 2016, 2017</t>
  </si>
  <si>
    <t>nakłady modernizacyjne budynku magazynu</t>
  </si>
  <si>
    <t>instalacja wod. - kan. (zewnętrzna)</t>
  </si>
  <si>
    <t>sieci elektryczne i oświetlenie</t>
  </si>
  <si>
    <t>plac PSZOK Brzostówka</t>
  </si>
  <si>
    <t>ogrodzenie PSZOK Brzostówka</t>
  </si>
  <si>
    <t>wagi, kontenery , itp.</t>
  </si>
  <si>
    <t>zbiornik przenośny na odpady</t>
  </si>
  <si>
    <t xml:space="preserve">nakłady modernizacyjne budynku </t>
  </si>
  <si>
    <t>plac przy PSZOK w Luszawie</t>
  </si>
  <si>
    <t>ogrodzenie PSZOK w Luszawie</t>
  </si>
  <si>
    <t>nakłady modernizacyjne budynków</t>
  </si>
  <si>
    <t>plac PSZOK Nowodwór</t>
  </si>
  <si>
    <t>ogrodzenie PSZOK Nowodwór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</si>
</sst>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* #,##0.00\ _z_ł_-;\-* #,##0.00\ _z_ł_-;_-* \-??\ _z_ł_-;_-@_-"/>
    <numFmt numFmtId="166" formatCode="MMM\ YY;@"/>
    <numFmt numFmtId="167" formatCode="General"/>
    <numFmt numFmtId="168" formatCode="#,##0.00"/>
    <numFmt numFmtId="169" formatCode="0%"/>
    <numFmt numFmtId="170" formatCode="_-* #,##0.00\ [$zł-415]_-;\-* #,##0.00\ [$zł-415]_-;_-* \-??\ [$zł-415]_-;_-@_-"/>
    <numFmt numFmtId="171" formatCode="0.00"/>
    <numFmt numFmtId="172" formatCode="0.00%"/>
    <numFmt numFmtId="173" formatCode="@"/>
    <numFmt numFmtId="174" formatCode="_-* #,##0.00&quot; zł&quot;_-;\-* #,##0.00&quot; zł&quot;_-;_-* \-??&quot; zł&quot;_-;_-@_-"/>
    <numFmt numFmtId="175" formatCode="#,##0.0000"/>
    <numFmt numFmtId="176" formatCode="#,##0"/>
    <numFmt numFmtId="177" formatCode="#,##0.00\ _z_ł"/>
    <numFmt numFmtId="178" formatCode="#,##0.00&quot; zł&quot;"/>
    <numFmt numFmtId="179" formatCode="0.0%"/>
    <numFmt numFmtId="180" formatCode="D/MM/YYYY"/>
    <numFmt numFmtId="181" formatCode="#,##0.00\ [$zł-415];[RED]\-#,##0.00\ [$zł-415]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28"/>
      <color indexed="8"/>
      <name val="Czcionka tekstu podstawowego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Czcionka tekstu podstawowego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8"/>
      <name val="Czcionka tekstu podstawowego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8"/>
      <name val="Czcionka tekstu podstawowego"/>
      <family val="0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8"/>
      <color indexed="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7"/>
      <color indexed="8"/>
      <name val="Arial"/>
      <family val="2"/>
    </font>
    <font>
      <sz val="17"/>
      <color indexed="8"/>
      <name val="Arial"/>
      <family val="2"/>
    </font>
    <font>
      <sz val="17"/>
      <color indexed="9"/>
      <name val="Arial"/>
      <family val="2"/>
    </font>
    <font>
      <b/>
      <sz val="17"/>
      <color indexed="10"/>
      <name val="Arial"/>
      <family val="2"/>
    </font>
    <font>
      <b/>
      <i/>
      <sz val="17"/>
      <color indexed="8"/>
      <name val="Arial"/>
      <family val="2"/>
    </font>
    <font>
      <b/>
      <sz val="18"/>
      <color indexed="8"/>
      <name val="Arial"/>
      <family val="2"/>
    </font>
    <font>
      <i/>
      <sz val="17"/>
      <name val="Arial"/>
      <family val="2"/>
    </font>
    <font>
      <i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color indexed="9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sz val="12"/>
      <name val="Tahoma"/>
      <family val="2"/>
    </font>
    <font>
      <i/>
      <sz val="10"/>
      <name val="Tahoma"/>
      <family val="2"/>
    </font>
    <font>
      <i/>
      <sz val="11"/>
      <name val="Calibri"/>
      <family val="2"/>
    </font>
    <font>
      <b/>
      <i/>
      <sz val="10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</cellStyleXfs>
  <cellXfs count="83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 horizontal="center" vertical="center" wrapText="1"/>
    </xf>
    <xf numFmtId="164" fontId="0" fillId="2" borderId="0" xfId="0" applyFont="1" applyFill="1" applyAlignment="1">
      <alignment horizontal="left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164" fontId="8" fillId="2" borderId="8" xfId="0" applyFont="1" applyFill="1" applyBorder="1" applyAlignment="1">
      <alignment horizontal="center" vertical="center" wrapText="1"/>
    </xf>
    <xf numFmtId="164" fontId="8" fillId="2" borderId="9" xfId="0" applyFont="1" applyFill="1" applyBorder="1" applyAlignment="1">
      <alignment horizontal="left" vertical="center" wrapText="1"/>
    </xf>
    <xf numFmtId="164" fontId="8" fillId="2" borderId="9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 horizontal="center" vertical="center" wrapText="1"/>
    </xf>
    <xf numFmtId="164" fontId="9" fillId="3" borderId="11" xfId="0" applyFont="1" applyFill="1" applyBorder="1" applyAlignment="1">
      <alignment vertical="center" wrapText="1"/>
    </xf>
    <xf numFmtId="164" fontId="5" fillId="3" borderId="10" xfId="0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168" fontId="10" fillId="3" borderId="13" xfId="0" applyNumberFormat="1" applyFont="1" applyFill="1" applyBorder="1" applyAlignment="1">
      <alignment horizontal="center" vertical="center" wrapText="1"/>
    </xf>
    <xf numFmtId="168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4" fontId="11" fillId="4" borderId="2" xfId="0" applyFont="1" applyFill="1" applyBorder="1" applyAlignment="1">
      <alignment horizontal="center" vertical="center" wrapText="1"/>
    </xf>
    <xf numFmtId="164" fontId="11" fillId="4" borderId="14" xfId="0" applyFont="1" applyFill="1" applyBorder="1" applyAlignment="1">
      <alignment vertical="center" wrapText="1"/>
    </xf>
    <xf numFmtId="169" fontId="8" fillId="4" borderId="14" xfId="0" applyNumberFormat="1" applyFont="1" applyFill="1" applyBorder="1" applyAlignment="1">
      <alignment horizontal="center" vertical="center" wrapText="1"/>
    </xf>
    <xf numFmtId="170" fontId="11" fillId="4" borderId="14" xfId="0" applyNumberFormat="1" applyFont="1" applyFill="1" applyBorder="1" applyAlignment="1">
      <alignment horizontal="center" vertical="center" wrapText="1"/>
    </xf>
    <xf numFmtId="168" fontId="10" fillId="4" borderId="14" xfId="0" applyNumberFormat="1" applyFont="1" applyFill="1" applyBorder="1" applyAlignment="1">
      <alignment horizontal="right" vertical="center" wrapText="1"/>
    </xf>
    <xf numFmtId="168" fontId="10" fillId="4" borderId="3" xfId="0" applyNumberFormat="1" applyFont="1" applyFill="1" applyBorder="1" applyAlignment="1">
      <alignment horizontal="right" vertical="center" wrapText="1"/>
    </xf>
    <xf numFmtId="164" fontId="0" fillId="4" borderId="0" xfId="0" applyFill="1" applyAlignment="1">
      <alignment/>
    </xf>
    <xf numFmtId="164" fontId="11" fillId="4" borderId="7" xfId="0" applyFont="1" applyFill="1" applyBorder="1" applyAlignment="1">
      <alignment horizontal="center" vertical="center" wrapText="1"/>
    </xf>
    <xf numFmtId="164" fontId="11" fillId="4" borderId="6" xfId="0" applyFont="1" applyFill="1" applyBorder="1" applyAlignment="1">
      <alignment vertical="center" wrapText="1"/>
    </xf>
    <xf numFmtId="169" fontId="8" fillId="4" borderId="6" xfId="0" applyNumberFormat="1" applyFont="1" applyFill="1" applyBorder="1" applyAlignment="1">
      <alignment horizontal="center" vertical="center" wrapText="1"/>
    </xf>
    <xf numFmtId="170" fontId="11" fillId="4" borderId="6" xfId="0" applyNumberFormat="1" applyFont="1" applyFill="1" applyBorder="1" applyAlignment="1">
      <alignment horizontal="center" vertical="center" wrapText="1"/>
    </xf>
    <xf numFmtId="168" fontId="10" fillId="4" borderId="6" xfId="0" applyNumberFormat="1" applyFont="1" applyFill="1" applyBorder="1" applyAlignment="1">
      <alignment horizontal="right" vertical="center" wrapText="1"/>
    </xf>
    <xf numFmtId="168" fontId="10" fillId="4" borderId="5" xfId="0" applyNumberFormat="1" applyFont="1" applyFill="1" applyBorder="1" applyAlignment="1">
      <alignment horizontal="right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vertical="center" wrapText="1"/>
    </xf>
    <xf numFmtId="169" fontId="8" fillId="2" borderId="6" xfId="0" applyNumberFormat="1" applyFont="1" applyFill="1" applyBorder="1" applyAlignment="1">
      <alignment horizontal="center" vertical="center" wrapText="1"/>
    </xf>
    <xf numFmtId="170" fontId="11" fillId="2" borderId="6" xfId="0" applyNumberFormat="1" applyFont="1" applyFill="1" applyBorder="1" applyAlignment="1">
      <alignment horizontal="center" vertical="center" wrapText="1"/>
    </xf>
    <xf numFmtId="168" fontId="10" fillId="2" borderId="6" xfId="0" applyNumberFormat="1" applyFont="1" applyFill="1" applyBorder="1" applyAlignment="1">
      <alignment horizontal="right" vertical="center" wrapText="1"/>
    </xf>
    <xf numFmtId="168" fontId="10" fillId="5" borderId="6" xfId="0" applyNumberFormat="1" applyFont="1" applyFill="1" applyBorder="1" applyAlignment="1">
      <alignment horizontal="right" vertical="center" wrapText="1"/>
    </xf>
    <xf numFmtId="168" fontId="10" fillId="2" borderId="5" xfId="0" applyNumberFormat="1" applyFont="1" applyFill="1" applyBorder="1" applyAlignment="1">
      <alignment horizontal="right" vertical="center" wrapText="1"/>
    </xf>
    <xf numFmtId="168" fontId="10" fillId="4" borderId="6" xfId="0" applyNumberFormat="1" applyFont="1" applyFill="1" applyBorder="1" applyAlignment="1">
      <alignment horizontal="right" vertical="center"/>
    </xf>
    <xf numFmtId="170" fontId="11" fillId="2" borderId="6" xfId="0" applyNumberFormat="1" applyFont="1" applyFill="1" applyBorder="1" applyAlignment="1">
      <alignment horizontal="center" vertical="center"/>
    </xf>
    <xf numFmtId="168" fontId="10" fillId="2" borderId="6" xfId="0" applyNumberFormat="1" applyFont="1" applyFill="1" applyBorder="1" applyAlignment="1">
      <alignment horizontal="right" vertical="center"/>
    </xf>
    <xf numFmtId="168" fontId="10" fillId="5" borderId="6" xfId="0" applyNumberFormat="1" applyFont="1" applyFill="1" applyBorder="1" applyAlignment="1">
      <alignment horizontal="right" vertical="center"/>
    </xf>
    <xf numFmtId="164" fontId="0" fillId="4" borderId="6" xfId="0" applyFill="1" applyBorder="1" applyAlignment="1">
      <alignment/>
    </xf>
    <xf numFmtId="164" fontId="12" fillId="4" borderId="6" xfId="0" applyFont="1" applyFill="1" applyBorder="1" applyAlignment="1">
      <alignment vertical="center" wrapText="1"/>
    </xf>
    <xf numFmtId="164" fontId="9" fillId="3" borderId="7" xfId="0" applyFont="1" applyFill="1" applyBorder="1" applyAlignment="1">
      <alignment horizontal="center" vertical="center" wrapText="1"/>
    </xf>
    <xf numFmtId="164" fontId="9" fillId="3" borderId="6" xfId="0" applyFont="1" applyFill="1" applyBorder="1" applyAlignment="1">
      <alignment vertical="center" wrapText="1"/>
    </xf>
    <xf numFmtId="164" fontId="6" fillId="3" borderId="6" xfId="0" applyFont="1" applyFill="1" applyBorder="1" applyAlignment="1">
      <alignment horizontal="center" vertical="center" wrapText="1"/>
    </xf>
    <xf numFmtId="171" fontId="6" fillId="3" borderId="6" xfId="0" applyNumberFormat="1" applyFont="1" applyFill="1" applyBorder="1" applyAlignment="1">
      <alignment horizontal="center" vertical="center" wrapText="1"/>
    </xf>
    <xf numFmtId="168" fontId="10" fillId="3" borderId="6" xfId="0" applyNumberFormat="1" applyFont="1" applyFill="1" applyBorder="1" applyAlignment="1">
      <alignment horizontal="right" vertic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170" fontId="0" fillId="4" borderId="6" xfId="0" applyNumberFormat="1" applyFont="1" applyFill="1" applyBorder="1" applyAlignment="1">
      <alignment horizontal="center" vertical="center" wrapText="1"/>
    </xf>
    <xf numFmtId="172" fontId="0" fillId="4" borderId="6" xfId="19" applyNumberFormat="1" applyFont="1" applyFill="1" applyBorder="1" applyAlignment="1" applyProtection="1">
      <alignment horizontal="center" vertical="center" wrapText="1"/>
      <protection/>
    </xf>
    <xf numFmtId="170" fontId="12" fillId="4" borderId="6" xfId="0" applyNumberFormat="1" applyFont="1" applyFill="1" applyBorder="1" applyAlignment="1">
      <alignment horizontal="center" vertical="center" wrapText="1"/>
    </xf>
    <xf numFmtId="170" fontId="13" fillId="4" borderId="6" xfId="0" applyNumberFormat="1" applyFont="1" applyFill="1" applyBorder="1" applyAlignment="1">
      <alignment horizontal="center" vertical="center" wrapText="1"/>
    </xf>
    <xf numFmtId="164" fontId="9" fillId="4" borderId="6" xfId="0" applyFont="1" applyFill="1" applyBorder="1" applyAlignment="1">
      <alignment vertical="center" wrapText="1"/>
    </xf>
    <xf numFmtId="170" fontId="14" fillId="4" borderId="6" xfId="0" applyNumberFormat="1" applyFont="1" applyFill="1" applyBorder="1" applyAlignment="1">
      <alignment horizontal="center" vertical="center" wrapText="1"/>
    </xf>
    <xf numFmtId="173" fontId="11" fillId="4" borderId="6" xfId="0" applyNumberFormat="1" applyFont="1" applyFill="1" applyBorder="1" applyAlignment="1">
      <alignment vertical="center" wrapText="1"/>
    </xf>
    <xf numFmtId="173" fontId="11" fillId="2" borderId="6" xfId="0" applyNumberFormat="1" applyFont="1" applyFill="1" applyBorder="1" applyAlignment="1">
      <alignment vertical="center" wrapText="1"/>
    </xf>
    <xf numFmtId="172" fontId="0" fillId="2" borderId="6" xfId="19" applyNumberFormat="1" applyFont="1" applyFill="1" applyBorder="1" applyAlignment="1" applyProtection="1">
      <alignment horizontal="center" vertical="center" wrapText="1"/>
      <protection/>
    </xf>
    <xf numFmtId="170" fontId="13" fillId="2" borderId="6" xfId="0" applyNumberFormat="1" applyFont="1" applyFill="1" applyBorder="1" applyAlignment="1">
      <alignment horizontal="center" vertical="center" wrapText="1"/>
    </xf>
    <xf numFmtId="168" fontId="15" fillId="5" borderId="6" xfId="0" applyNumberFormat="1" applyFont="1" applyFill="1" applyBorder="1" applyAlignment="1">
      <alignment horizontal="right" vertical="center" wrapText="1"/>
    </xf>
    <xf numFmtId="164" fontId="9" fillId="4" borderId="7" xfId="0" applyFont="1" applyFill="1" applyBorder="1" applyAlignment="1">
      <alignment horizontal="center" vertical="center" wrapText="1"/>
    </xf>
    <xf numFmtId="172" fontId="16" fillId="4" borderId="6" xfId="19" applyNumberFormat="1" applyFont="1" applyFill="1" applyBorder="1" applyAlignment="1" applyProtection="1">
      <alignment horizontal="center" vertical="center" wrapText="1"/>
      <protection/>
    </xf>
    <xf numFmtId="170" fontId="16" fillId="4" borderId="6" xfId="0" applyNumberFormat="1" applyFont="1" applyFill="1" applyBorder="1" applyAlignment="1">
      <alignment horizontal="center" vertical="center" wrapText="1"/>
    </xf>
    <xf numFmtId="170" fontId="12" fillId="4" borderId="6" xfId="17" applyNumberFormat="1" applyFont="1" applyFill="1" applyBorder="1" applyAlignment="1" applyProtection="1">
      <alignment horizontal="center" vertical="center" wrapText="1"/>
      <protection/>
    </xf>
    <xf numFmtId="170" fontId="12" fillId="2" borderId="6" xfId="17" applyNumberFormat="1" applyFont="1" applyFill="1" applyBorder="1" applyAlignment="1" applyProtection="1">
      <alignment horizontal="center" vertical="center" wrapText="1"/>
      <protection/>
    </xf>
    <xf numFmtId="164" fontId="0" fillId="2" borderId="6" xfId="0" applyFill="1" applyBorder="1" applyAlignment="1">
      <alignment/>
    </xf>
    <xf numFmtId="164" fontId="12" fillId="2" borderId="6" xfId="0" applyFont="1" applyFill="1" applyBorder="1" applyAlignment="1">
      <alignment horizontal="left" vertical="center" wrapText="1"/>
    </xf>
    <xf numFmtId="164" fontId="12" fillId="4" borderId="7" xfId="0" applyFont="1" applyFill="1" applyBorder="1" applyAlignment="1">
      <alignment horizontal="center" vertical="center" wrapText="1"/>
    </xf>
    <xf numFmtId="164" fontId="12" fillId="2" borderId="7" xfId="0" applyFont="1" applyFill="1" applyBorder="1" applyAlignment="1">
      <alignment horizontal="center" vertical="center" wrapText="1"/>
    </xf>
    <xf numFmtId="164" fontId="12" fillId="2" borderId="6" xfId="0" applyFont="1" applyFill="1" applyBorder="1" applyAlignment="1">
      <alignment vertical="center" wrapText="1"/>
    </xf>
    <xf numFmtId="173" fontId="17" fillId="4" borderId="6" xfId="0" applyNumberFormat="1" applyFont="1" applyFill="1" applyBorder="1" applyAlignment="1">
      <alignment vertical="center" wrapText="1"/>
    </xf>
    <xf numFmtId="173" fontId="12" fillId="4" borderId="6" xfId="0" applyNumberFormat="1" applyFont="1" applyFill="1" applyBorder="1" applyAlignment="1">
      <alignment vertical="center" wrapText="1"/>
    </xf>
    <xf numFmtId="164" fontId="11" fillId="3" borderId="7" xfId="0" applyFont="1" applyFill="1" applyBorder="1" applyAlignment="1">
      <alignment horizontal="center" vertical="center" wrapText="1"/>
    </xf>
    <xf numFmtId="172" fontId="6" fillId="3" borderId="6" xfId="19" applyNumberFormat="1" applyFont="1" applyFill="1" applyBorder="1" applyAlignment="1" applyProtection="1">
      <alignment horizontal="center" vertical="center" wrapText="1"/>
      <protection/>
    </xf>
    <xf numFmtId="173" fontId="9" fillId="4" borderId="6" xfId="0" applyNumberFormat="1" applyFont="1" applyFill="1" applyBorder="1" applyAlignment="1">
      <alignment vertical="center" wrapText="1"/>
    </xf>
    <xf numFmtId="172" fontId="6" fillId="4" borderId="6" xfId="19" applyNumberFormat="1" applyFont="1" applyFill="1" applyBorder="1" applyAlignment="1" applyProtection="1">
      <alignment horizontal="center" vertical="center" wrapText="1"/>
      <protection/>
    </xf>
    <xf numFmtId="170" fontId="6" fillId="4" borderId="6" xfId="0" applyNumberFormat="1" applyFont="1" applyFill="1" applyBorder="1" applyAlignment="1">
      <alignment horizontal="center" vertical="center" wrapText="1"/>
    </xf>
    <xf numFmtId="172" fontId="18" fillId="4" borderId="6" xfId="19" applyNumberFormat="1" applyFont="1" applyFill="1" applyBorder="1" applyAlignment="1" applyProtection="1">
      <alignment horizontal="center" vertical="center" wrapText="1"/>
      <protection/>
    </xf>
    <xf numFmtId="172" fontId="18" fillId="2" borderId="6" xfId="19" applyNumberFormat="1" applyFont="1" applyFill="1" applyBorder="1" applyAlignment="1" applyProtection="1">
      <alignment horizontal="center" vertical="center" wrapText="1"/>
      <protection/>
    </xf>
    <xf numFmtId="172" fontId="6" fillId="2" borderId="6" xfId="19" applyNumberFormat="1" applyFont="1" applyFill="1" applyBorder="1" applyAlignment="1" applyProtection="1">
      <alignment horizontal="center" vertical="center" wrapText="1"/>
      <protection/>
    </xf>
    <xf numFmtId="164" fontId="17" fillId="3" borderId="7" xfId="0" applyFont="1" applyFill="1" applyBorder="1" applyAlignment="1">
      <alignment horizontal="center" vertical="center" wrapText="1"/>
    </xf>
    <xf numFmtId="164" fontId="17" fillId="3" borderId="6" xfId="0" applyFont="1" applyFill="1" applyBorder="1" applyAlignment="1">
      <alignment vertical="center" wrapText="1"/>
    </xf>
    <xf numFmtId="170" fontId="18" fillId="4" borderId="6" xfId="0" applyNumberFormat="1" applyFont="1" applyFill="1" applyBorder="1" applyAlignment="1">
      <alignment horizontal="center" vertical="center" wrapText="1"/>
    </xf>
    <xf numFmtId="164" fontId="11" fillId="4" borderId="7" xfId="0" applyFont="1" applyFill="1" applyBorder="1" applyAlignment="1">
      <alignment horizontal="center"/>
    </xf>
    <xf numFmtId="164" fontId="11" fillId="4" borderId="6" xfId="0" applyFont="1" applyFill="1" applyBorder="1" applyAlignment="1">
      <alignment/>
    </xf>
    <xf numFmtId="170" fontId="6" fillId="2" borderId="6" xfId="0" applyNumberFormat="1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vertical="center" wrapText="1"/>
    </xf>
    <xf numFmtId="172" fontId="18" fillId="3" borderId="6" xfId="19" applyNumberFormat="1" applyFont="1" applyFill="1" applyBorder="1" applyAlignment="1" applyProtection="1">
      <alignment horizontal="center" vertical="center" wrapText="1"/>
      <protection/>
    </xf>
    <xf numFmtId="164" fontId="0" fillId="4" borderId="6" xfId="0" applyFont="1" applyFill="1" applyBorder="1" applyAlignment="1">
      <alignment horizontal="center" vertical="center"/>
    </xf>
    <xf numFmtId="168" fontId="0" fillId="4" borderId="6" xfId="0" applyNumberFormat="1" applyFont="1" applyFill="1" applyBorder="1" applyAlignment="1">
      <alignment horizontal="center" vertical="center"/>
    </xf>
    <xf numFmtId="164" fontId="17" fillId="4" borderId="6" xfId="0" applyFont="1" applyFill="1" applyBorder="1" applyAlignment="1">
      <alignment vertical="center" wrapText="1"/>
    </xf>
    <xf numFmtId="172" fontId="6" fillId="3" borderId="6" xfId="19" applyNumberFormat="1" applyFont="1" applyFill="1" applyBorder="1" applyAlignment="1" applyProtection="1">
      <alignment horizontal="center" vertical="center" wrapText="1"/>
      <protection/>
    </xf>
    <xf numFmtId="172" fontId="8" fillId="4" borderId="6" xfId="19" applyNumberFormat="1" applyFont="1" applyFill="1" applyBorder="1" applyAlignment="1" applyProtection="1">
      <alignment horizontal="center" vertical="center" wrapText="1"/>
      <protection/>
    </xf>
    <xf numFmtId="172" fontId="5" fillId="3" borderId="6" xfId="19" applyNumberFormat="1" applyFont="1" applyFill="1" applyBorder="1" applyAlignment="1" applyProtection="1">
      <alignment horizontal="center" vertical="center" wrapText="1"/>
      <protection/>
    </xf>
    <xf numFmtId="172" fontId="8" fillId="2" borderId="6" xfId="19" applyNumberFormat="1" applyFont="1" applyFill="1" applyBorder="1" applyAlignment="1" applyProtection="1">
      <alignment horizontal="center" vertical="center" wrapText="1"/>
      <protection/>
    </xf>
    <xf numFmtId="170" fontId="0" fillId="2" borderId="0" xfId="0" applyNumberFormat="1" applyFill="1" applyAlignment="1">
      <alignment/>
    </xf>
    <xf numFmtId="170" fontId="17" fillId="4" borderId="6" xfId="17" applyNumberFormat="1" applyFont="1" applyFill="1" applyBorder="1" applyAlignment="1" applyProtection="1">
      <alignment horizontal="center" vertical="center" wrapText="1"/>
      <protection/>
    </xf>
    <xf numFmtId="172" fontId="0" fillId="2" borderId="0" xfId="0" applyNumberFormat="1" applyFill="1" applyAlignment="1">
      <alignment/>
    </xf>
    <xf numFmtId="170" fontId="0" fillId="2" borderId="6" xfId="0" applyNumberFormat="1" applyFont="1" applyFill="1" applyBorder="1" applyAlignment="1">
      <alignment horizontal="center" vertical="center" wrapText="1"/>
    </xf>
    <xf numFmtId="168" fontId="10" fillId="0" borderId="6" xfId="0" applyNumberFormat="1" applyFont="1" applyFill="1" applyBorder="1" applyAlignment="1">
      <alignment horizontal="right" vertical="center" wrapText="1"/>
    </xf>
    <xf numFmtId="168" fontId="10" fillId="2" borderId="15" xfId="0" applyNumberFormat="1" applyFont="1" applyFill="1" applyBorder="1" applyAlignment="1">
      <alignment horizontal="right" vertical="center" wrapText="1"/>
    </xf>
    <xf numFmtId="164" fontId="11" fillId="4" borderId="6" xfId="0" applyFont="1" applyFill="1" applyBorder="1" applyAlignment="1">
      <alignment horizontal="left" vertical="center" wrapText="1"/>
    </xf>
    <xf numFmtId="164" fontId="10" fillId="4" borderId="6" xfId="0" applyNumberFormat="1" applyFont="1" applyFill="1" applyBorder="1" applyAlignment="1">
      <alignment horizontal="right" vertical="center" wrapText="1"/>
    </xf>
    <xf numFmtId="164" fontId="9" fillId="3" borderId="6" xfId="0" applyFont="1" applyFill="1" applyBorder="1" applyAlignment="1">
      <alignment horizontal="left" vertical="center" wrapText="1"/>
    </xf>
    <xf numFmtId="171" fontId="0" fillId="5" borderId="6" xfId="0" applyNumberFormat="1" applyFont="1" applyFill="1" applyBorder="1" applyAlignment="1">
      <alignment horizontal="center" vertical="center" wrapText="1"/>
    </xf>
    <xf numFmtId="171" fontId="0" fillId="4" borderId="6" xfId="0" applyNumberFormat="1" applyFont="1" applyFill="1" applyBorder="1" applyAlignment="1">
      <alignment horizontal="center" vertical="center" wrapText="1"/>
    </xf>
    <xf numFmtId="168" fontId="10" fillId="3" borderId="5" xfId="0" applyNumberFormat="1" applyFont="1" applyFill="1" applyBorder="1" applyAlignment="1">
      <alignment horizontal="right" vertical="center" wrapText="1"/>
    </xf>
    <xf numFmtId="164" fontId="12" fillId="4" borderId="6" xfId="0" applyFont="1" applyFill="1" applyBorder="1" applyAlignment="1">
      <alignment horizontal="left" vertical="center" wrapText="1"/>
    </xf>
    <xf numFmtId="164" fontId="11" fillId="4" borderId="8" xfId="0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horizontal="left" vertical="center" wrapText="1"/>
    </xf>
    <xf numFmtId="172" fontId="8" fillId="4" borderId="1" xfId="19" applyNumberFormat="1" applyFont="1" applyFill="1" applyBorder="1" applyAlignment="1" applyProtection="1">
      <alignment horizontal="center" vertical="center" wrapText="1"/>
      <protection/>
    </xf>
    <xf numFmtId="170" fontId="0" fillId="4" borderId="1" xfId="0" applyNumberFormat="1" applyFont="1" applyFill="1" applyBorder="1" applyAlignment="1">
      <alignment horizontal="center" vertical="center" wrapText="1"/>
    </xf>
    <xf numFmtId="168" fontId="10" fillId="4" borderId="1" xfId="0" applyNumberFormat="1" applyFont="1" applyFill="1" applyBorder="1" applyAlignment="1">
      <alignment horizontal="right" vertical="center" wrapText="1"/>
    </xf>
    <xf numFmtId="168" fontId="10" fillId="5" borderId="1" xfId="0" applyNumberFormat="1" applyFont="1" applyFill="1" applyBorder="1" applyAlignment="1">
      <alignment horizontal="right" vertical="center" wrapText="1"/>
    </xf>
    <xf numFmtId="168" fontId="10" fillId="4" borderId="9" xfId="0" applyNumberFormat="1" applyFont="1" applyFill="1" applyBorder="1" applyAlignment="1">
      <alignment horizontal="right" vertical="center" wrapText="1"/>
    </xf>
    <xf numFmtId="164" fontId="6" fillId="6" borderId="16" xfId="0" applyFont="1" applyFill="1" applyBorder="1" applyAlignment="1">
      <alignment horizontal="center" vertical="center" wrapText="1"/>
    </xf>
    <xf numFmtId="164" fontId="6" fillId="6" borderId="17" xfId="0" applyFont="1" applyFill="1" applyBorder="1" applyAlignment="1">
      <alignment horizontal="left" vertical="center" wrapText="1"/>
    </xf>
    <xf numFmtId="172" fontId="0" fillId="6" borderId="17" xfId="19" applyNumberFormat="1" applyFont="1" applyFill="1" applyBorder="1" applyAlignment="1" applyProtection="1">
      <alignment horizontal="center" vertical="center" wrapText="1"/>
      <protection/>
    </xf>
    <xf numFmtId="165" fontId="6" fillId="6" borderId="17" xfId="0" applyNumberFormat="1" applyFont="1" applyFill="1" applyBorder="1" applyAlignment="1">
      <alignment horizontal="center" vertical="center" wrapText="1"/>
    </xf>
    <xf numFmtId="168" fontId="10" fillId="6" borderId="17" xfId="0" applyNumberFormat="1" applyFont="1" applyFill="1" applyBorder="1" applyAlignment="1">
      <alignment horizontal="right" vertical="center" wrapText="1"/>
    </xf>
    <xf numFmtId="168" fontId="10" fillId="7" borderId="17" xfId="0" applyNumberFormat="1" applyFont="1" applyFill="1" applyBorder="1" applyAlignment="1">
      <alignment horizontal="right" vertical="center" wrapText="1"/>
    </xf>
    <xf numFmtId="168" fontId="10" fillId="8" borderId="17" xfId="0" applyNumberFormat="1" applyFont="1" applyFill="1" applyBorder="1" applyAlignment="1">
      <alignment horizontal="right" vertical="center" wrapText="1"/>
    </xf>
    <xf numFmtId="164" fontId="19" fillId="2" borderId="0" xfId="0" applyFont="1" applyFill="1" applyAlignment="1">
      <alignment/>
    </xf>
    <xf numFmtId="165" fontId="20" fillId="4" borderId="6" xfId="15" applyNumberFormat="1" applyFont="1" applyFill="1" applyBorder="1" applyAlignment="1" applyProtection="1">
      <alignment/>
      <protection/>
    </xf>
    <xf numFmtId="174" fontId="21" fillId="2" borderId="0" xfId="17" applyFont="1" applyFill="1" applyBorder="1" applyAlignment="1" applyProtection="1">
      <alignment horizontal="center"/>
      <protection/>
    </xf>
    <xf numFmtId="164" fontId="21" fillId="2" borderId="0" xfId="0" applyFont="1" applyFill="1" applyAlignment="1">
      <alignment/>
    </xf>
    <xf numFmtId="175" fontId="0" fillId="2" borderId="0" xfId="0" applyNumberFormat="1" applyFill="1" applyAlignment="1">
      <alignment/>
    </xf>
    <xf numFmtId="171" fontId="21" fillId="2" borderId="0" xfId="0" applyNumberFormat="1" applyFont="1" applyFill="1" applyAlignment="1">
      <alignment/>
    </xf>
    <xf numFmtId="164" fontId="24" fillId="0" borderId="0" xfId="0" applyFont="1" applyFill="1" applyAlignment="1">
      <alignment/>
    </xf>
    <xf numFmtId="164" fontId="24" fillId="0" borderId="0" xfId="0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4" fontId="24" fillId="0" borderId="0" xfId="0" applyFont="1" applyAlignment="1">
      <alignment horizontal="center"/>
    </xf>
    <xf numFmtId="168" fontId="24" fillId="0" borderId="0" xfId="0" applyNumberFormat="1" applyFont="1" applyAlignment="1">
      <alignment horizontal="center"/>
    </xf>
    <xf numFmtId="164" fontId="24" fillId="0" borderId="0" xfId="0" applyFont="1" applyFill="1" applyBorder="1" applyAlignment="1">
      <alignment/>
    </xf>
    <xf numFmtId="164" fontId="24" fillId="0" borderId="18" xfId="0" applyFont="1" applyFill="1" applyBorder="1" applyAlignment="1">
      <alignment/>
    </xf>
    <xf numFmtId="164" fontId="24" fillId="0" borderId="0" xfId="0" applyFont="1" applyFill="1" applyBorder="1" applyAlignment="1">
      <alignment horizontal="center"/>
    </xf>
    <xf numFmtId="164" fontId="25" fillId="0" borderId="0" xfId="0" applyFont="1" applyFill="1" applyAlignment="1">
      <alignment vertical="center" wrapText="1"/>
    </xf>
    <xf numFmtId="164" fontId="25" fillId="0" borderId="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Alignment="1">
      <alignment horizontal="center" vertical="center"/>
    </xf>
    <xf numFmtId="168" fontId="27" fillId="0" borderId="0" xfId="0" applyNumberFormat="1" applyFont="1" applyFill="1" applyAlignment="1">
      <alignment horizontal="center" vertical="center" wrapText="1"/>
    </xf>
    <xf numFmtId="164" fontId="25" fillId="0" borderId="0" xfId="0" applyFont="1" applyFill="1" applyAlignment="1">
      <alignment horizontal="center" vertical="center" wrapText="1"/>
    </xf>
    <xf numFmtId="168" fontId="25" fillId="0" borderId="0" xfId="0" applyNumberFormat="1" applyFont="1" applyFill="1" applyAlignment="1">
      <alignment horizontal="center" vertical="center" wrapText="1"/>
    </xf>
    <xf numFmtId="168" fontId="29" fillId="0" borderId="0" xfId="0" applyNumberFormat="1" applyFont="1" applyFill="1" applyAlignment="1">
      <alignment horizontal="center" vertical="center" wrapText="1"/>
    </xf>
    <xf numFmtId="164" fontId="25" fillId="0" borderId="19" xfId="0" applyFont="1" applyFill="1" applyBorder="1" applyAlignment="1">
      <alignment horizontal="center" vertical="center" wrapText="1"/>
    </xf>
    <xf numFmtId="168" fontId="25" fillId="0" borderId="19" xfId="0" applyNumberFormat="1" applyFont="1" applyFill="1" applyBorder="1" applyAlignment="1">
      <alignment horizontal="center" vertical="center" wrapText="1"/>
    </xf>
    <xf numFmtId="168" fontId="25" fillId="0" borderId="20" xfId="0" applyNumberFormat="1" applyFont="1" applyFill="1" applyBorder="1" applyAlignment="1">
      <alignment horizontal="center" vertical="center" wrapText="1"/>
    </xf>
    <xf numFmtId="168" fontId="25" fillId="0" borderId="21" xfId="0" applyNumberFormat="1" applyFont="1" applyFill="1" applyBorder="1" applyAlignment="1">
      <alignment horizontal="center" vertical="center" wrapText="1"/>
    </xf>
    <xf numFmtId="176" fontId="25" fillId="0" borderId="19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7" fillId="9" borderId="19" xfId="0" applyFont="1" applyFill="1" applyBorder="1" applyAlignment="1">
      <alignment horizontal="center" vertical="center" wrapText="1"/>
    </xf>
    <xf numFmtId="164" fontId="27" fillId="9" borderId="19" xfId="0" applyFont="1" applyFill="1" applyBorder="1" applyAlignment="1">
      <alignment vertical="center" wrapText="1"/>
    </xf>
    <xf numFmtId="164" fontId="31" fillId="9" borderId="19" xfId="0" applyFont="1" applyFill="1" applyBorder="1" applyAlignment="1">
      <alignment horizontal="center" vertical="center" wrapText="1"/>
    </xf>
    <xf numFmtId="168" fontId="31" fillId="9" borderId="19" xfId="0" applyNumberFormat="1" applyFont="1" applyFill="1" applyBorder="1" applyAlignment="1">
      <alignment horizontal="center" vertical="center" wrapText="1"/>
    </xf>
    <xf numFmtId="165" fontId="31" fillId="9" borderId="19" xfId="0" applyNumberFormat="1" applyFont="1" applyFill="1" applyBorder="1" applyAlignment="1">
      <alignment horizontal="center" vertical="center" wrapText="1"/>
    </xf>
    <xf numFmtId="169" fontId="31" fillId="9" borderId="19" xfId="19" applyFont="1" applyFill="1" applyBorder="1" applyAlignment="1" applyProtection="1">
      <alignment horizontal="center" vertical="center" wrapText="1"/>
      <protection/>
    </xf>
    <xf numFmtId="177" fontId="31" fillId="9" borderId="19" xfId="17" applyNumberFormat="1" applyFont="1" applyFill="1" applyBorder="1" applyAlignment="1" applyProtection="1">
      <alignment horizontal="center" vertical="center" wrapText="1"/>
      <protection/>
    </xf>
    <xf numFmtId="169" fontId="31" fillId="9" borderId="20" xfId="19" applyFont="1" applyFill="1" applyBorder="1" applyAlignment="1" applyProtection="1">
      <alignment horizontal="center" vertical="center" wrapText="1"/>
      <protection/>
    </xf>
    <xf numFmtId="178" fontId="31" fillId="9" borderId="23" xfId="17" applyNumberFormat="1" applyFont="1" applyFill="1" applyBorder="1" applyAlignment="1" applyProtection="1">
      <alignment horizontal="center" vertical="center" wrapText="1"/>
      <protection/>
    </xf>
    <xf numFmtId="168" fontId="24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 horizontal="center"/>
    </xf>
    <xf numFmtId="164" fontId="27" fillId="10" borderId="24" xfId="0" applyFont="1" applyFill="1" applyBorder="1" applyAlignment="1">
      <alignment horizontal="center" vertical="center" wrapText="1"/>
    </xf>
    <xf numFmtId="164" fontId="27" fillId="10" borderId="24" xfId="0" applyFont="1" applyFill="1" applyBorder="1" applyAlignment="1">
      <alignment vertical="center" wrapText="1"/>
    </xf>
    <xf numFmtId="169" fontId="31" fillId="10" borderId="24" xfId="0" applyNumberFormat="1" applyFont="1" applyFill="1" applyBorder="1" applyAlignment="1">
      <alignment horizontal="center" vertical="center" wrapText="1"/>
    </xf>
    <xf numFmtId="168" fontId="31" fillId="10" borderId="24" xfId="0" applyNumberFormat="1" applyFont="1" applyFill="1" applyBorder="1" applyAlignment="1">
      <alignment horizontal="center" vertical="center" wrapText="1"/>
    </xf>
    <xf numFmtId="165" fontId="31" fillId="10" borderId="24" xfId="0" applyNumberFormat="1" applyFont="1" applyFill="1" applyBorder="1" applyAlignment="1">
      <alignment horizontal="center" vertical="center" wrapText="1"/>
    </xf>
    <xf numFmtId="169" fontId="26" fillId="10" borderId="24" xfId="19" applyFont="1" applyFill="1" applyBorder="1" applyAlignment="1" applyProtection="1">
      <alignment horizontal="center" vertical="center" wrapText="1"/>
      <protection/>
    </xf>
    <xf numFmtId="177" fontId="26" fillId="10" borderId="24" xfId="17" applyNumberFormat="1" applyFont="1" applyFill="1" applyBorder="1" applyAlignment="1" applyProtection="1">
      <alignment horizontal="center" vertical="center" wrapText="1"/>
      <protection/>
    </xf>
    <xf numFmtId="178" fontId="26" fillId="10" borderId="25" xfId="17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>
      <alignment/>
    </xf>
    <xf numFmtId="164" fontId="32" fillId="0" borderId="0" xfId="0" applyFont="1" applyFill="1" applyBorder="1" applyAlignment="1">
      <alignment horizontal="center"/>
    </xf>
    <xf numFmtId="164" fontId="25" fillId="6" borderId="26" xfId="0" applyFont="1" applyFill="1" applyBorder="1" applyAlignment="1">
      <alignment horizontal="center" vertical="center" wrapText="1"/>
    </xf>
    <xf numFmtId="164" fontId="25" fillId="6" borderId="26" xfId="0" applyFont="1" applyFill="1" applyBorder="1" applyAlignment="1">
      <alignment vertical="center" wrapText="1"/>
    </xf>
    <xf numFmtId="169" fontId="25" fillId="6" borderId="26" xfId="0" applyNumberFormat="1" applyFont="1" applyFill="1" applyBorder="1" applyAlignment="1">
      <alignment horizontal="center" vertical="center" wrapText="1"/>
    </xf>
    <xf numFmtId="168" fontId="25" fillId="6" borderId="26" xfId="0" applyNumberFormat="1" applyFont="1" applyFill="1" applyBorder="1" applyAlignment="1">
      <alignment horizontal="center" vertical="center" wrapText="1"/>
    </xf>
    <xf numFmtId="165" fontId="25" fillId="6" borderId="26" xfId="0" applyNumberFormat="1" applyFont="1" applyFill="1" applyBorder="1" applyAlignment="1">
      <alignment horizontal="center" vertical="center" wrapText="1"/>
    </xf>
    <xf numFmtId="169" fontId="25" fillId="6" borderId="26" xfId="19" applyFont="1" applyFill="1" applyBorder="1" applyAlignment="1" applyProtection="1">
      <alignment horizontal="center" vertical="center" wrapText="1"/>
      <protection/>
    </xf>
    <xf numFmtId="177" fontId="25" fillId="6" borderId="26" xfId="17" applyNumberFormat="1" applyFont="1" applyFill="1" applyBorder="1" applyAlignment="1" applyProtection="1">
      <alignment horizontal="center" vertical="center" wrapText="1"/>
      <protection/>
    </xf>
    <xf numFmtId="178" fontId="25" fillId="6" borderId="27" xfId="17" applyNumberFormat="1" applyFont="1" applyFill="1" applyBorder="1" applyAlignment="1" applyProtection="1">
      <alignment horizontal="center" vertical="center" wrapText="1"/>
      <protection/>
    </xf>
    <xf numFmtId="164" fontId="33" fillId="11" borderId="28" xfId="0" applyFont="1" applyFill="1" applyBorder="1" applyAlignment="1">
      <alignment horizontal="center" vertical="center" wrapText="1"/>
    </xf>
    <xf numFmtId="164" fontId="33" fillId="11" borderId="28" xfId="0" applyFont="1" applyFill="1" applyBorder="1" applyAlignment="1">
      <alignment vertical="center" wrapText="1"/>
    </xf>
    <xf numFmtId="169" fontId="33" fillId="11" borderId="28" xfId="0" applyNumberFormat="1" applyFont="1" applyFill="1" applyBorder="1" applyAlignment="1">
      <alignment horizontal="center" vertical="center" wrapText="1"/>
    </xf>
    <xf numFmtId="168" fontId="33" fillId="11" borderId="28" xfId="0" applyNumberFormat="1" applyFont="1" applyFill="1" applyBorder="1" applyAlignment="1">
      <alignment horizontal="center" vertical="center" wrapText="1"/>
    </xf>
    <xf numFmtId="165" fontId="33" fillId="11" borderId="28" xfId="0" applyNumberFormat="1" applyFont="1" applyFill="1" applyBorder="1" applyAlignment="1">
      <alignment horizontal="center" vertical="center" wrapText="1"/>
    </xf>
    <xf numFmtId="169" fontId="33" fillId="11" borderId="28" xfId="19" applyFont="1" applyFill="1" applyBorder="1" applyAlignment="1" applyProtection="1">
      <alignment horizontal="center" vertical="center" wrapText="1"/>
      <protection/>
    </xf>
    <xf numFmtId="177" fontId="33" fillId="11" borderId="28" xfId="17" applyNumberFormat="1" applyFont="1" applyFill="1" applyBorder="1" applyAlignment="1" applyProtection="1">
      <alignment horizontal="center" vertical="center" wrapText="1"/>
      <protection/>
    </xf>
    <xf numFmtId="178" fontId="33" fillId="11" borderId="29" xfId="17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Font="1" applyFill="1" applyBorder="1" applyAlignment="1">
      <alignment/>
    </xf>
    <xf numFmtId="164" fontId="34" fillId="0" borderId="0" xfId="0" applyFont="1" applyFill="1" applyBorder="1" applyAlignment="1">
      <alignment horizontal="center"/>
    </xf>
    <xf numFmtId="164" fontId="33" fillId="11" borderId="6" xfId="0" applyFont="1" applyFill="1" applyBorder="1" applyAlignment="1">
      <alignment horizontal="center" vertical="center" wrapText="1"/>
    </xf>
    <xf numFmtId="164" fontId="33" fillId="11" borderId="6" xfId="0" applyFont="1" applyFill="1" applyBorder="1" applyAlignment="1">
      <alignment vertical="center" wrapText="1"/>
    </xf>
    <xf numFmtId="169" fontId="33" fillId="11" borderId="6" xfId="19" applyFont="1" applyFill="1" applyBorder="1" applyAlignment="1" applyProtection="1">
      <alignment horizontal="center" vertical="center" wrapText="1"/>
      <protection/>
    </xf>
    <xf numFmtId="164" fontId="33" fillId="11" borderId="30" xfId="0" applyFont="1" applyFill="1" applyBorder="1" applyAlignment="1">
      <alignment horizontal="center" vertical="center" wrapText="1"/>
    </xf>
    <xf numFmtId="164" fontId="33" fillId="11" borderId="30" xfId="0" applyFont="1" applyFill="1" applyBorder="1" applyAlignment="1">
      <alignment vertical="center" wrapText="1"/>
    </xf>
    <xf numFmtId="169" fontId="33" fillId="11" borderId="26" xfId="0" applyNumberFormat="1" applyFont="1" applyFill="1" applyBorder="1" applyAlignment="1">
      <alignment horizontal="center" vertical="center" wrapText="1"/>
    </xf>
    <xf numFmtId="168" fontId="33" fillId="11" borderId="26" xfId="0" applyNumberFormat="1" applyFont="1" applyFill="1" applyBorder="1" applyAlignment="1">
      <alignment horizontal="center" vertical="center" wrapText="1"/>
    </xf>
    <xf numFmtId="165" fontId="33" fillId="11" borderId="26" xfId="0" applyNumberFormat="1" applyFont="1" applyFill="1" applyBorder="1" applyAlignment="1">
      <alignment horizontal="center" vertical="center" wrapText="1"/>
    </xf>
    <xf numFmtId="169" fontId="33" fillId="11" borderId="26" xfId="19" applyFont="1" applyFill="1" applyBorder="1" applyAlignment="1" applyProtection="1">
      <alignment horizontal="center" vertical="center" wrapText="1"/>
      <protection/>
    </xf>
    <xf numFmtId="177" fontId="33" fillId="11" borderId="30" xfId="17" applyNumberFormat="1" applyFont="1" applyFill="1" applyBorder="1" applyAlignment="1" applyProtection="1">
      <alignment horizontal="center" vertical="center" wrapText="1"/>
      <protection/>
    </xf>
    <xf numFmtId="177" fontId="33" fillId="11" borderId="26" xfId="17" applyNumberFormat="1" applyFont="1" applyFill="1" applyBorder="1" applyAlignment="1" applyProtection="1">
      <alignment horizontal="center" vertical="center" wrapText="1"/>
      <protection/>
    </xf>
    <xf numFmtId="169" fontId="33" fillId="11" borderId="30" xfId="19" applyFont="1" applyFill="1" applyBorder="1" applyAlignment="1" applyProtection="1">
      <alignment horizontal="center" vertical="center" wrapText="1"/>
      <protection/>
    </xf>
    <xf numFmtId="178" fontId="33" fillId="11" borderId="27" xfId="17" applyNumberFormat="1" applyFont="1" applyFill="1" applyBorder="1" applyAlignment="1" applyProtection="1">
      <alignment horizontal="center" vertical="center" wrapText="1"/>
      <protection/>
    </xf>
    <xf numFmtId="168" fontId="33" fillId="11" borderId="28" xfId="0" applyNumberFormat="1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 wrapText="1"/>
    </xf>
    <xf numFmtId="164" fontId="33" fillId="11" borderId="1" xfId="0" applyFont="1" applyFill="1" applyBorder="1" applyAlignment="1">
      <alignment vertical="center" wrapText="1"/>
    </xf>
    <xf numFmtId="169" fontId="33" fillId="11" borderId="31" xfId="0" applyNumberFormat="1" applyFont="1" applyFill="1" applyBorder="1" applyAlignment="1">
      <alignment horizontal="center" vertical="center" wrapText="1"/>
    </xf>
    <xf numFmtId="168" fontId="33" fillId="11" borderId="31" xfId="0" applyNumberFormat="1" applyFont="1" applyFill="1" applyBorder="1" applyAlignment="1">
      <alignment horizontal="center" vertical="center"/>
    </xf>
    <xf numFmtId="165" fontId="33" fillId="11" borderId="31" xfId="0" applyNumberFormat="1" applyFont="1" applyFill="1" applyBorder="1" applyAlignment="1">
      <alignment horizontal="center" vertical="center" wrapText="1"/>
    </xf>
    <xf numFmtId="169" fontId="33" fillId="11" borderId="31" xfId="19" applyFont="1" applyFill="1" applyBorder="1" applyAlignment="1" applyProtection="1">
      <alignment horizontal="center" vertical="center" wrapText="1"/>
      <protection/>
    </xf>
    <xf numFmtId="177" fontId="33" fillId="11" borderId="31" xfId="17" applyNumberFormat="1" applyFont="1" applyFill="1" applyBorder="1" applyAlignment="1" applyProtection="1">
      <alignment horizontal="center" vertical="center" wrapText="1"/>
      <protection/>
    </xf>
    <xf numFmtId="169" fontId="33" fillId="11" borderId="1" xfId="19" applyFont="1" applyFill="1" applyBorder="1" applyAlignment="1" applyProtection="1">
      <alignment horizontal="center" vertical="center" wrapText="1"/>
      <protection/>
    </xf>
    <xf numFmtId="178" fontId="33" fillId="11" borderId="32" xfId="17" applyNumberFormat="1" applyFont="1" applyFill="1" applyBorder="1" applyAlignment="1" applyProtection="1">
      <alignment horizontal="center" vertical="center" wrapText="1"/>
      <protection/>
    </xf>
    <xf numFmtId="164" fontId="27" fillId="10" borderId="17" xfId="0" applyFont="1" applyFill="1" applyBorder="1" applyAlignment="1">
      <alignment horizontal="center" vertical="center" wrapText="1"/>
    </xf>
    <xf numFmtId="164" fontId="27" fillId="10" borderId="17" xfId="0" applyFont="1" applyFill="1" applyBorder="1" applyAlignment="1">
      <alignment vertical="center" wrapText="1"/>
    </xf>
    <xf numFmtId="169" fontId="31" fillId="10" borderId="17" xfId="0" applyNumberFormat="1" applyFont="1" applyFill="1" applyBorder="1" applyAlignment="1">
      <alignment horizontal="center" vertical="center" wrapText="1"/>
    </xf>
    <xf numFmtId="168" fontId="31" fillId="10" borderId="17" xfId="0" applyNumberFormat="1" applyFont="1" applyFill="1" applyBorder="1" applyAlignment="1">
      <alignment horizontal="center" vertical="center" wrapText="1"/>
    </xf>
    <xf numFmtId="165" fontId="31" fillId="10" borderId="17" xfId="0" applyNumberFormat="1" applyFont="1" applyFill="1" applyBorder="1" applyAlignment="1">
      <alignment horizontal="center" vertical="center" wrapText="1"/>
    </xf>
    <xf numFmtId="169" fontId="26" fillId="10" borderId="17" xfId="19" applyFont="1" applyFill="1" applyBorder="1" applyAlignment="1" applyProtection="1">
      <alignment horizontal="center" vertical="center" wrapText="1"/>
      <protection/>
    </xf>
    <xf numFmtId="177" fontId="26" fillId="10" borderId="17" xfId="17" applyNumberFormat="1" applyFont="1" applyFill="1" applyBorder="1" applyAlignment="1" applyProtection="1">
      <alignment horizontal="center" vertical="center" wrapText="1"/>
      <protection/>
    </xf>
    <xf numFmtId="178" fontId="26" fillId="10" borderId="33" xfId="17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>
      <alignment horizontal="center" vertical="center" wrapText="1"/>
    </xf>
    <xf numFmtId="169" fontId="35" fillId="0" borderId="0" xfId="0" applyNumberFormat="1" applyFont="1" applyFill="1" applyBorder="1" applyAlignment="1">
      <alignment horizontal="center" vertical="center" wrapText="1"/>
    </xf>
    <xf numFmtId="171" fontId="35" fillId="0" borderId="0" xfId="0" applyNumberFormat="1" applyFont="1" applyFill="1" applyBorder="1" applyAlignment="1">
      <alignment horizontal="center" vertical="center" wrapText="1"/>
    </xf>
    <xf numFmtId="168" fontId="35" fillId="0" borderId="0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center" vertical="center" wrapText="1"/>
    </xf>
    <xf numFmtId="169" fontId="36" fillId="0" borderId="0" xfId="19" applyFont="1" applyFill="1" applyBorder="1" applyAlignment="1" applyProtection="1">
      <alignment horizontal="center" vertical="center" wrapText="1"/>
      <protection/>
    </xf>
    <xf numFmtId="174" fontId="36" fillId="0" borderId="0" xfId="17" applyFont="1" applyFill="1" applyBorder="1" applyAlignment="1" applyProtection="1">
      <alignment horizontal="right" vertical="center" wrapText="1"/>
      <protection/>
    </xf>
    <xf numFmtId="164" fontId="32" fillId="0" borderId="0" xfId="0" applyFont="1" applyFill="1" applyBorder="1" applyAlignment="1">
      <alignment vertical="center" wrapText="1"/>
    </xf>
    <xf numFmtId="164" fontId="25" fillId="6" borderId="28" xfId="0" applyFont="1" applyFill="1" applyBorder="1" applyAlignment="1">
      <alignment horizontal="center" vertical="center" wrapText="1"/>
    </xf>
    <xf numFmtId="164" fontId="25" fillId="6" borderId="28" xfId="0" applyFont="1" applyFill="1" applyBorder="1" applyAlignment="1">
      <alignment vertical="center" wrapText="1"/>
    </xf>
    <xf numFmtId="169" fontId="25" fillId="6" borderId="28" xfId="0" applyNumberFormat="1" applyFont="1" applyFill="1" applyBorder="1" applyAlignment="1">
      <alignment horizontal="center" vertical="center" wrapText="1"/>
    </xf>
    <xf numFmtId="168" fontId="25" fillId="6" borderId="28" xfId="0" applyNumberFormat="1" applyFont="1" applyFill="1" applyBorder="1" applyAlignment="1">
      <alignment horizontal="center" vertical="center" wrapText="1"/>
    </xf>
    <xf numFmtId="165" fontId="25" fillId="6" borderId="28" xfId="0" applyNumberFormat="1" applyFont="1" applyFill="1" applyBorder="1" applyAlignment="1">
      <alignment horizontal="center" vertical="center" wrapText="1"/>
    </xf>
    <xf numFmtId="169" fontId="25" fillId="6" borderId="28" xfId="19" applyFont="1" applyFill="1" applyBorder="1" applyAlignment="1" applyProtection="1">
      <alignment horizontal="center" vertical="center" wrapText="1"/>
      <protection/>
    </xf>
    <xf numFmtId="177" fontId="25" fillId="6" borderId="28" xfId="17" applyNumberFormat="1" applyFont="1" applyFill="1" applyBorder="1" applyAlignment="1" applyProtection="1">
      <alignment horizontal="center" vertical="center" wrapText="1"/>
      <protection/>
    </xf>
    <xf numFmtId="178" fontId="25" fillId="6" borderId="29" xfId="17" applyNumberFormat="1" applyFont="1" applyFill="1" applyBorder="1" applyAlignment="1" applyProtection="1">
      <alignment horizontal="center" vertical="center" wrapText="1"/>
      <protection/>
    </xf>
    <xf numFmtId="164" fontId="25" fillId="6" borderId="6" xfId="0" applyFont="1" applyFill="1" applyBorder="1" applyAlignment="1">
      <alignment horizontal="center" vertical="center" wrapText="1"/>
    </xf>
    <xf numFmtId="164" fontId="25" fillId="6" borderId="6" xfId="0" applyFont="1" applyFill="1" applyBorder="1" applyAlignment="1">
      <alignment vertical="center" wrapText="1"/>
    </xf>
    <xf numFmtId="169" fontId="25" fillId="6" borderId="6" xfId="0" applyNumberFormat="1" applyFont="1" applyFill="1" applyBorder="1" applyAlignment="1">
      <alignment horizontal="center" vertical="center" wrapText="1"/>
    </xf>
    <xf numFmtId="168" fontId="25" fillId="6" borderId="6" xfId="0" applyNumberFormat="1" applyFont="1" applyFill="1" applyBorder="1" applyAlignment="1">
      <alignment horizontal="center" vertical="center" wrapText="1"/>
    </xf>
    <xf numFmtId="165" fontId="25" fillId="6" borderId="6" xfId="0" applyNumberFormat="1" applyFont="1" applyFill="1" applyBorder="1" applyAlignment="1">
      <alignment horizontal="center" vertical="center" wrapText="1"/>
    </xf>
    <xf numFmtId="169" fontId="25" fillId="6" borderId="6" xfId="19" applyFont="1" applyFill="1" applyBorder="1" applyAlignment="1" applyProtection="1">
      <alignment horizontal="center" vertical="center" wrapText="1"/>
      <protection/>
    </xf>
    <xf numFmtId="177" fontId="25" fillId="6" borderId="6" xfId="17" applyNumberFormat="1" applyFont="1" applyFill="1" applyBorder="1" applyAlignment="1" applyProtection="1">
      <alignment horizontal="center" vertical="center" wrapText="1"/>
      <protection/>
    </xf>
    <xf numFmtId="178" fontId="25" fillId="6" borderId="15" xfId="17" applyNumberFormat="1" applyFont="1" applyFill="1" applyBorder="1" applyAlignment="1" applyProtection="1">
      <alignment horizontal="center" vertical="center" wrapText="1"/>
      <protection/>
    </xf>
    <xf numFmtId="164" fontId="25" fillId="6" borderId="1" xfId="0" applyFont="1" applyFill="1" applyBorder="1" applyAlignment="1">
      <alignment horizontal="center" vertical="center" wrapText="1"/>
    </xf>
    <xf numFmtId="164" fontId="25" fillId="6" borderId="1" xfId="0" applyFont="1" applyFill="1" applyBorder="1" applyAlignment="1">
      <alignment vertical="center" wrapText="1"/>
    </xf>
    <xf numFmtId="169" fontId="25" fillId="6" borderId="1" xfId="0" applyNumberFormat="1" applyFont="1" applyFill="1" applyBorder="1" applyAlignment="1">
      <alignment horizontal="center" vertical="center" wrapText="1"/>
    </xf>
    <xf numFmtId="168" fontId="25" fillId="6" borderId="1" xfId="0" applyNumberFormat="1" applyFont="1" applyFill="1" applyBorder="1" applyAlignment="1">
      <alignment horizontal="center" vertical="center" wrapText="1"/>
    </xf>
    <xf numFmtId="165" fontId="25" fillId="6" borderId="1" xfId="0" applyNumberFormat="1" applyFont="1" applyFill="1" applyBorder="1" applyAlignment="1">
      <alignment horizontal="center" vertical="center" wrapText="1"/>
    </xf>
    <xf numFmtId="169" fontId="25" fillId="6" borderId="1" xfId="19" applyFont="1" applyFill="1" applyBorder="1" applyAlignment="1" applyProtection="1">
      <alignment horizontal="center" vertical="center" wrapText="1"/>
      <protection/>
    </xf>
    <xf numFmtId="177" fontId="25" fillId="6" borderId="1" xfId="17" applyNumberFormat="1" applyFont="1" applyFill="1" applyBorder="1" applyAlignment="1" applyProtection="1">
      <alignment horizontal="center" vertical="center" wrapText="1"/>
      <protection/>
    </xf>
    <xf numFmtId="178" fontId="25" fillId="6" borderId="34" xfId="17" applyNumberFormat="1" applyFont="1" applyFill="1" applyBorder="1" applyAlignment="1" applyProtection="1">
      <alignment horizontal="center" vertical="center" wrapText="1"/>
      <protection/>
    </xf>
    <xf numFmtId="172" fontId="26" fillId="10" borderId="17" xfId="19" applyNumberFormat="1" applyFont="1" applyFill="1" applyBorder="1" applyAlignment="1" applyProtection="1">
      <alignment horizontal="center" vertical="center" wrapText="1"/>
      <protection/>
    </xf>
    <xf numFmtId="164" fontId="26" fillId="12" borderId="31" xfId="0" applyFont="1" applyFill="1" applyBorder="1" applyAlignment="1">
      <alignment horizontal="center" vertical="center" wrapText="1"/>
    </xf>
    <xf numFmtId="164" fontId="26" fillId="12" borderId="31" xfId="0" applyFont="1" applyFill="1" applyBorder="1" applyAlignment="1">
      <alignment vertical="center" wrapText="1"/>
    </xf>
    <xf numFmtId="168" fontId="26" fillId="12" borderId="31" xfId="0" applyNumberFormat="1" applyFont="1" applyFill="1" applyBorder="1" applyAlignment="1">
      <alignment horizontal="center" vertical="center" wrapText="1"/>
    </xf>
    <xf numFmtId="165" fontId="26" fillId="12" borderId="31" xfId="0" applyNumberFormat="1" applyFont="1" applyFill="1" applyBorder="1" applyAlignment="1">
      <alignment horizontal="center" vertical="center" wrapText="1"/>
    </xf>
    <xf numFmtId="172" fontId="25" fillId="12" borderId="31" xfId="19" applyNumberFormat="1" applyFont="1" applyFill="1" applyBorder="1" applyAlignment="1" applyProtection="1">
      <alignment horizontal="center" vertical="center" wrapText="1"/>
      <protection/>
    </xf>
    <xf numFmtId="177" fontId="25" fillId="12" borderId="31" xfId="17" applyNumberFormat="1" applyFont="1" applyFill="1" applyBorder="1" applyAlignment="1" applyProtection="1">
      <alignment horizontal="center" vertical="center" wrapText="1"/>
      <protection/>
    </xf>
    <xf numFmtId="178" fontId="25" fillId="12" borderId="32" xfId="17" applyNumberFormat="1" applyFont="1" applyFill="1" applyBorder="1" applyAlignment="1" applyProtection="1">
      <alignment horizontal="center" vertical="center" wrapText="1"/>
      <protection/>
    </xf>
    <xf numFmtId="164" fontId="26" fillId="10" borderId="17" xfId="0" applyFont="1" applyFill="1" applyBorder="1" applyAlignment="1">
      <alignment horizontal="center" vertical="center" wrapText="1"/>
    </xf>
    <xf numFmtId="164" fontId="26" fillId="10" borderId="17" xfId="0" applyFont="1" applyFill="1" applyBorder="1" applyAlignment="1">
      <alignment vertical="center" wrapText="1"/>
    </xf>
    <xf numFmtId="169" fontId="26" fillId="10" borderId="17" xfId="0" applyNumberFormat="1" applyFont="1" applyFill="1" applyBorder="1" applyAlignment="1">
      <alignment horizontal="center" vertical="center" wrapText="1"/>
    </xf>
    <xf numFmtId="168" fontId="26" fillId="10" borderId="17" xfId="0" applyNumberFormat="1" applyFont="1" applyFill="1" applyBorder="1" applyAlignment="1">
      <alignment horizontal="center" vertical="center" wrapText="1"/>
    </xf>
    <xf numFmtId="165" fontId="26" fillId="10" borderId="17" xfId="0" applyNumberFormat="1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wrapText="1"/>
    </xf>
    <xf numFmtId="164" fontId="25" fillId="6" borderId="17" xfId="0" applyFont="1" applyFill="1" applyBorder="1" applyAlignment="1">
      <alignment horizontal="center" vertical="center" wrapText="1"/>
    </xf>
    <xf numFmtId="164" fontId="25" fillId="6" borderId="17" xfId="0" applyFont="1" applyFill="1" applyBorder="1" applyAlignment="1">
      <alignment vertical="center" wrapText="1"/>
    </xf>
    <xf numFmtId="172" fontId="25" fillId="6" borderId="17" xfId="0" applyNumberFormat="1" applyFont="1" applyFill="1" applyBorder="1" applyAlignment="1">
      <alignment horizontal="center" vertical="center" wrapText="1"/>
    </xf>
    <xf numFmtId="168" fontId="25" fillId="6" borderId="17" xfId="0" applyNumberFormat="1" applyFont="1" applyFill="1" applyBorder="1" applyAlignment="1">
      <alignment horizontal="center" vertical="center" wrapText="1"/>
    </xf>
    <xf numFmtId="165" fontId="25" fillId="6" borderId="17" xfId="0" applyNumberFormat="1" applyFont="1" applyFill="1" applyBorder="1" applyAlignment="1">
      <alignment horizontal="center" vertical="center" wrapText="1"/>
    </xf>
    <xf numFmtId="169" fontId="25" fillId="6" borderId="17" xfId="19" applyFont="1" applyFill="1" applyBorder="1" applyAlignment="1" applyProtection="1">
      <alignment horizontal="center" vertical="center" wrapText="1"/>
      <protection/>
    </xf>
    <xf numFmtId="177" fontId="25" fillId="6" borderId="17" xfId="17" applyNumberFormat="1" applyFont="1" applyFill="1" applyBorder="1" applyAlignment="1" applyProtection="1">
      <alignment horizontal="center" vertical="center" wrapText="1"/>
      <protection/>
    </xf>
    <xf numFmtId="172" fontId="25" fillId="6" borderId="17" xfId="19" applyNumberFormat="1" applyFont="1" applyFill="1" applyBorder="1" applyAlignment="1" applyProtection="1">
      <alignment horizontal="center" vertical="center" wrapText="1"/>
      <protection/>
    </xf>
    <xf numFmtId="178" fontId="25" fillId="6" borderId="33" xfId="17" applyNumberFormat="1" applyFont="1" applyFill="1" applyBorder="1" applyAlignment="1" applyProtection="1">
      <alignment horizontal="center" vertical="center" wrapText="1"/>
      <protection/>
    </xf>
    <xf numFmtId="172" fontId="24" fillId="0" borderId="0" xfId="0" applyNumberFormat="1" applyFont="1" applyFill="1" applyBorder="1" applyAlignment="1">
      <alignment horizontal="center"/>
    </xf>
    <xf numFmtId="179" fontId="24" fillId="0" borderId="0" xfId="0" applyNumberFormat="1" applyFont="1" applyFill="1" applyBorder="1" applyAlignment="1">
      <alignment horizontal="center"/>
    </xf>
    <xf numFmtId="178" fontId="24" fillId="0" borderId="0" xfId="0" applyNumberFormat="1" applyFont="1" applyFill="1" applyBorder="1" applyAlignment="1">
      <alignment/>
    </xf>
    <xf numFmtId="164" fontId="25" fillId="11" borderId="28" xfId="0" applyFont="1" applyFill="1" applyBorder="1" applyAlignment="1">
      <alignment horizontal="center" vertical="center" wrapText="1"/>
    </xf>
    <xf numFmtId="164" fontId="25" fillId="11" borderId="6" xfId="0" applyFont="1" applyFill="1" applyBorder="1" applyAlignment="1">
      <alignment vertical="center" wrapText="1"/>
    </xf>
    <xf numFmtId="169" fontId="25" fillId="11" borderId="6" xfId="0" applyNumberFormat="1" applyFont="1" applyFill="1" applyBorder="1" applyAlignment="1">
      <alignment horizontal="center" vertical="center" wrapText="1"/>
    </xf>
    <xf numFmtId="168" fontId="25" fillId="11" borderId="28" xfId="0" applyNumberFormat="1" applyFont="1" applyFill="1" applyBorder="1" applyAlignment="1">
      <alignment horizontal="center" vertical="center" wrapText="1"/>
    </xf>
    <xf numFmtId="165" fontId="25" fillId="11" borderId="28" xfId="0" applyNumberFormat="1" applyFont="1" applyFill="1" applyBorder="1" applyAlignment="1">
      <alignment horizontal="center" vertical="center" wrapText="1"/>
    </xf>
    <xf numFmtId="169" fontId="25" fillId="11" borderId="6" xfId="19" applyFont="1" applyFill="1" applyBorder="1" applyAlignment="1" applyProtection="1">
      <alignment horizontal="center" vertical="center" wrapText="1"/>
      <protection/>
    </xf>
    <xf numFmtId="177" fontId="25" fillId="11" borderId="6" xfId="17" applyNumberFormat="1" applyFont="1" applyFill="1" applyBorder="1" applyAlignment="1" applyProtection="1">
      <alignment horizontal="center" vertical="center" wrapText="1"/>
      <protection/>
    </xf>
    <xf numFmtId="178" fontId="25" fillId="11" borderId="15" xfId="17" applyNumberFormat="1" applyFont="1" applyFill="1" applyBorder="1" applyAlignment="1" applyProtection="1">
      <alignment horizontal="center" vertical="center" wrapText="1"/>
      <protection/>
    </xf>
    <xf numFmtId="169" fontId="25" fillId="6" borderId="6" xfId="19" applyNumberFormat="1" applyFont="1" applyFill="1" applyBorder="1" applyAlignment="1" applyProtection="1">
      <alignment horizontal="center" vertical="center" wrapText="1"/>
      <protection/>
    </xf>
    <xf numFmtId="164" fontId="24" fillId="2" borderId="0" xfId="0" applyFont="1" applyFill="1" applyBorder="1" applyAlignment="1">
      <alignment/>
    </xf>
    <xf numFmtId="169" fontId="25" fillId="11" borderId="6" xfId="19" applyNumberFormat="1" applyFont="1" applyFill="1" applyBorder="1" applyAlignment="1" applyProtection="1">
      <alignment horizontal="center" vertical="center" wrapText="1"/>
      <protection/>
    </xf>
    <xf numFmtId="164" fontId="24" fillId="6" borderId="0" xfId="0" applyFont="1" applyFill="1" applyBorder="1" applyAlignment="1">
      <alignment/>
    </xf>
    <xf numFmtId="164" fontId="25" fillId="6" borderId="31" xfId="0" applyFont="1" applyFill="1" applyBorder="1" applyAlignment="1">
      <alignment horizontal="center" vertical="center" wrapText="1"/>
    </xf>
    <xf numFmtId="168" fontId="25" fillId="6" borderId="31" xfId="0" applyNumberFormat="1" applyFont="1" applyFill="1" applyBorder="1" applyAlignment="1">
      <alignment horizontal="center" vertical="center" wrapText="1"/>
    </xf>
    <xf numFmtId="165" fontId="25" fillId="6" borderId="31" xfId="0" applyNumberFormat="1" applyFont="1" applyFill="1" applyBorder="1" applyAlignment="1">
      <alignment horizontal="center" vertical="center" wrapText="1"/>
    </xf>
    <xf numFmtId="169" fontId="25" fillId="6" borderId="1" xfId="19" applyNumberFormat="1" applyFont="1" applyFill="1" applyBorder="1" applyAlignment="1" applyProtection="1">
      <alignment horizontal="center" vertical="center" wrapText="1"/>
      <protection/>
    </xf>
    <xf numFmtId="164" fontId="25" fillId="11" borderId="6" xfId="0" applyFont="1" applyFill="1" applyBorder="1" applyAlignment="1">
      <alignment horizontal="center" vertical="center" wrapText="1"/>
    </xf>
    <xf numFmtId="168" fontId="25" fillId="11" borderId="6" xfId="0" applyNumberFormat="1" applyFont="1" applyFill="1" applyBorder="1" applyAlignment="1">
      <alignment horizontal="center" vertical="center" wrapText="1"/>
    </xf>
    <xf numFmtId="165" fontId="25" fillId="11" borderId="6" xfId="0" applyNumberFormat="1" applyFont="1" applyFill="1" applyBorder="1" applyAlignment="1">
      <alignment horizontal="center" vertical="center" wrapText="1"/>
    </xf>
    <xf numFmtId="164" fontId="24" fillId="6" borderId="35" xfId="0" applyFont="1" applyFill="1" applyBorder="1" applyAlignment="1">
      <alignment/>
    </xf>
    <xf numFmtId="164" fontId="24" fillId="6" borderId="6" xfId="0" applyFont="1" applyFill="1" applyBorder="1" applyAlignment="1">
      <alignment/>
    </xf>
    <xf numFmtId="164" fontId="25" fillId="6" borderId="31" xfId="0" applyFont="1" applyFill="1" applyBorder="1" applyAlignment="1">
      <alignment vertical="center" wrapText="1"/>
    </xf>
    <xf numFmtId="169" fontId="25" fillId="6" borderId="31" xfId="0" applyNumberFormat="1" applyFont="1" applyFill="1" applyBorder="1" applyAlignment="1">
      <alignment horizontal="center" vertical="center" wrapText="1"/>
    </xf>
    <xf numFmtId="169" fontId="25" fillId="6" borderId="31" xfId="19" applyFont="1" applyFill="1" applyBorder="1" applyAlignment="1" applyProtection="1">
      <alignment horizontal="center" vertical="center" wrapText="1"/>
      <protection/>
    </xf>
    <xf numFmtId="177" fontId="25" fillId="6" borderId="31" xfId="17" applyNumberFormat="1" applyFont="1" applyFill="1" applyBorder="1" applyAlignment="1" applyProtection="1">
      <alignment horizontal="center" vertical="center" wrapText="1"/>
      <protection/>
    </xf>
    <xf numFmtId="178" fontId="25" fillId="6" borderId="32" xfId="17" applyNumberFormat="1" applyFont="1" applyFill="1" applyBorder="1" applyAlignment="1" applyProtection="1">
      <alignment horizontal="center" vertical="center" wrapText="1"/>
      <protection/>
    </xf>
    <xf numFmtId="172" fontId="25" fillId="11" borderId="6" xfId="0" applyNumberFormat="1" applyFont="1" applyFill="1" applyBorder="1" applyAlignment="1">
      <alignment horizontal="center" vertical="center" wrapText="1"/>
    </xf>
    <xf numFmtId="169" fontId="25" fillId="11" borderId="1" xfId="19" applyFont="1" applyFill="1" applyBorder="1" applyAlignment="1" applyProtection="1">
      <alignment horizontal="center" vertical="center" wrapText="1"/>
      <protection/>
    </xf>
    <xf numFmtId="177" fontId="25" fillId="11" borderId="1" xfId="17" applyNumberFormat="1" applyFont="1" applyFill="1" applyBorder="1" applyAlignment="1" applyProtection="1">
      <alignment horizontal="center" vertical="center" wrapText="1"/>
      <protection/>
    </xf>
    <xf numFmtId="178" fontId="25" fillId="11" borderId="34" xfId="17" applyNumberFormat="1" applyFont="1" applyFill="1" applyBorder="1" applyAlignment="1" applyProtection="1">
      <alignment horizontal="center" vertical="center" wrapText="1"/>
      <protection/>
    </xf>
    <xf numFmtId="164" fontId="26" fillId="10" borderId="6" xfId="0" applyFont="1" applyFill="1" applyBorder="1" applyAlignment="1">
      <alignment horizontal="center" vertical="center" wrapText="1"/>
    </xf>
    <xf numFmtId="164" fontId="26" fillId="10" borderId="6" xfId="0" applyFont="1" applyFill="1" applyBorder="1" applyAlignment="1">
      <alignment vertical="center" wrapText="1"/>
    </xf>
    <xf numFmtId="172" fontId="26" fillId="10" borderId="6" xfId="0" applyNumberFormat="1" applyFont="1" applyFill="1" applyBorder="1" applyAlignment="1">
      <alignment horizontal="center" vertical="center" wrapText="1"/>
    </xf>
    <xf numFmtId="168" fontId="26" fillId="10" borderId="6" xfId="0" applyNumberFormat="1" applyFont="1" applyFill="1" applyBorder="1" applyAlignment="1">
      <alignment horizontal="center" vertical="center" wrapText="1"/>
    </xf>
    <xf numFmtId="165" fontId="26" fillId="10" borderId="6" xfId="0" applyNumberFormat="1" applyFont="1" applyFill="1" applyBorder="1" applyAlignment="1">
      <alignment horizontal="center" vertical="center" wrapText="1"/>
    </xf>
    <xf numFmtId="172" fontId="26" fillId="10" borderId="6" xfId="19" applyNumberFormat="1" applyFont="1" applyFill="1" applyBorder="1" applyAlignment="1" applyProtection="1">
      <alignment horizontal="center" vertical="center" wrapText="1"/>
      <protection/>
    </xf>
    <xf numFmtId="177" fontId="26" fillId="10" borderId="6" xfId="17" applyNumberFormat="1" applyFont="1" applyFill="1" applyBorder="1" applyAlignment="1" applyProtection="1">
      <alignment horizontal="center" vertical="center" wrapText="1"/>
      <protection/>
    </xf>
    <xf numFmtId="178" fontId="26" fillId="10" borderId="15" xfId="17" applyNumberFormat="1" applyFont="1" applyFill="1" applyBorder="1" applyAlignment="1" applyProtection="1">
      <alignment horizontal="center" vertical="center" wrapText="1"/>
      <protection/>
    </xf>
    <xf numFmtId="179" fontId="25" fillId="6" borderId="6" xfId="19" applyNumberFormat="1" applyFont="1" applyFill="1" applyBorder="1" applyAlignment="1" applyProtection="1">
      <alignment horizontal="center" vertical="center" wrapText="1"/>
      <protection/>
    </xf>
    <xf numFmtId="172" fontId="25" fillId="6" borderId="1" xfId="19" applyNumberFormat="1" applyFont="1" applyFill="1" applyBorder="1" applyAlignment="1" applyProtection="1">
      <alignment horizontal="center" vertical="center" wrapText="1"/>
      <protection/>
    </xf>
    <xf numFmtId="164" fontId="25" fillId="11" borderId="1" xfId="0" applyFont="1" applyFill="1" applyBorder="1" applyAlignment="1">
      <alignment vertical="center" wrapText="1"/>
    </xf>
    <xf numFmtId="169" fontId="25" fillId="11" borderId="1" xfId="0" applyNumberFormat="1" applyFont="1" applyFill="1" applyBorder="1" applyAlignment="1">
      <alignment horizontal="center" vertical="center" wrapText="1"/>
    </xf>
    <xf numFmtId="168" fontId="25" fillId="11" borderId="1" xfId="0" applyNumberFormat="1" applyFont="1" applyFill="1" applyBorder="1" applyAlignment="1">
      <alignment horizontal="center" vertical="center" wrapText="1"/>
    </xf>
    <xf numFmtId="179" fontId="25" fillId="11" borderId="6" xfId="19" applyNumberFormat="1" applyFont="1" applyFill="1" applyBorder="1" applyAlignment="1" applyProtection="1">
      <alignment horizontal="center" vertical="center" wrapText="1"/>
      <protection/>
    </xf>
    <xf numFmtId="177" fontId="25" fillId="11" borderId="28" xfId="17" applyNumberFormat="1" applyFont="1" applyFill="1" applyBorder="1" applyAlignment="1" applyProtection="1">
      <alignment horizontal="center" vertical="center" wrapText="1"/>
      <protection/>
    </xf>
    <xf numFmtId="172" fontId="25" fillId="11" borderId="1" xfId="19" applyNumberFormat="1" applyFont="1" applyFill="1" applyBorder="1" applyAlignment="1" applyProtection="1">
      <alignment horizontal="center" vertical="center" wrapText="1"/>
      <protection/>
    </xf>
    <xf numFmtId="164" fontId="25" fillId="5" borderId="6" xfId="0" applyFont="1" applyFill="1" applyBorder="1" applyAlignment="1">
      <alignment horizontal="center" vertical="center" wrapText="1"/>
    </xf>
    <xf numFmtId="164" fontId="25" fillId="5" borderId="1" xfId="0" applyFont="1" applyFill="1" applyBorder="1" applyAlignment="1">
      <alignment vertical="center" wrapText="1"/>
    </xf>
    <xf numFmtId="172" fontId="25" fillId="5" borderId="1" xfId="0" applyNumberFormat="1" applyFont="1" applyFill="1" applyBorder="1" applyAlignment="1">
      <alignment horizontal="center" vertical="center" wrapText="1"/>
    </xf>
    <xf numFmtId="168" fontId="25" fillId="5" borderId="1" xfId="0" applyNumberFormat="1" applyFont="1" applyFill="1" applyBorder="1" applyAlignment="1">
      <alignment horizontal="center" vertical="center" wrapText="1"/>
    </xf>
    <xf numFmtId="177" fontId="25" fillId="5" borderId="6" xfId="17" applyNumberFormat="1" applyFont="1" applyFill="1" applyBorder="1" applyAlignment="1" applyProtection="1">
      <alignment horizontal="center" vertical="center" wrapText="1"/>
      <protection/>
    </xf>
    <xf numFmtId="165" fontId="25" fillId="5" borderId="6" xfId="0" applyNumberFormat="1" applyFont="1" applyFill="1" applyBorder="1" applyAlignment="1">
      <alignment horizontal="center" vertical="center" wrapText="1"/>
    </xf>
    <xf numFmtId="179" fontId="25" fillId="5" borderId="6" xfId="19" applyNumberFormat="1" applyFont="1" applyFill="1" applyBorder="1" applyAlignment="1" applyProtection="1">
      <alignment horizontal="center" vertical="center" wrapText="1"/>
      <protection/>
    </xf>
    <xf numFmtId="177" fontId="25" fillId="5" borderId="28" xfId="17" applyNumberFormat="1" applyFont="1" applyFill="1" applyBorder="1" applyAlignment="1" applyProtection="1">
      <alignment horizontal="center" vertical="center" wrapText="1"/>
      <protection/>
    </xf>
    <xf numFmtId="172" fontId="25" fillId="5" borderId="1" xfId="19" applyNumberFormat="1" applyFont="1" applyFill="1" applyBorder="1" applyAlignment="1" applyProtection="1">
      <alignment horizontal="center" vertical="center" wrapText="1"/>
      <protection/>
    </xf>
    <xf numFmtId="178" fontId="25" fillId="5" borderId="15" xfId="17" applyNumberFormat="1" applyFont="1" applyFill="1" applyBorder="1" applyAlignment="1" applyProtection="1">
      <alignment horizontal="center" vertical="center" wrapText="1"/>
      <protection/>
    </xf>
    <xf numFmtId="164" fontId="25" fillId="6" borderId="6" xfId="0" applyFont="1" applyFill="1" applyBorder="1" applyAlignment="1">
      <alignment horizontal="left" vertical="center" wrapText="1"/>
    </xf>
    <xf numFmtId="164" fontId="25" fillId="11" borderId="6" xfId="0" applyFont="1" applyFill="1" applyBorder="1" applyAlignment="1">
      <alignment horizontal="left" vertical="center" wrapText="1"/>
    </xf>
    <xf numFmtId="165" fontId="25" fillId="11" borderId="1" xfId="0" applyNumberFormat="1" applyFont="1" applyFill="1" applyBorder="1" applyAlignment="1">
      <alignment horizontal="center" vertical="center" wrapText="1"/>
    </xf>
    <xf numFmtId="179" fontId="25" fillId="11" borderId="6" xfId="0" applyNumberFormat="1" applyFont="1" applyFill="1" applyBorder="1" applyAlignment="1">
      <alignment horizontal="center" vertical="center" wrapText="1"/>
    </xf>
    <xf numFmtId="164" fontId="25" fillId="11" borderId="1" xfId="0" applyFont="1" applyFill="1" applyBorder="1" applyAlignment="1">
      <alignment horizontal="left" vertical="center" wrapText="1"/>
    </xf>
    <xf numFmtId="164" fontId="25" fillId="5" borderId="6" xfId="0" applyFont="1" applyFill="1" applyBorder="1" applyAlignment="1">
      <alignment vertical="center" wrapText="1"/>
    </xf>
    <xf numFmtId="172" fontId="25" fillId="5" borderId="6" xfId="0" applyNumberFormat="1" applyFont="1" applyFill="1" applyBorder="1" applyAlignment="1">
      <alignment horizontal="center" vertical="center" wrapText="1"/>
    </xf>
    <xf numFmtId="168" fontId="25" fillId="5" borderId="6" xfId="0" applyNumberFormat="1" applyFont="1" applyFill="1" applyBorder="1" applyAlignment="1">
      <alignment horizontal="center" vertical="center" wrapText="1"/>
    </xf>
    <xf numFmtId="169" fontId="25" fillId="5" borderId="1" xfId="19" applyFont="1" applyFill="1" applyBorder="1" applyAlignment="1" applyProtection="1">
      <alignment horizontal="center" vertical="center" wrapText="1"/>
      <protection/>
    </xf>
    <xf numFmtId="177" fontId="25" fillId="5" borderId="1" xfId="17" applyNumberFormat="1" applyFont="1" applyFill="1" applyBorder="1" applyAlignment="1" applyProtection="1">
      <alignment horizontal="center" vertical="center" wrapText="1"/>
      <protection/>
    </xf>
    <xf numFmtId="164" fontId="24" fillId="11" borderId="0" xfId="0" applyFont="1" applyFill="1" applyBorder="1" applyAlignment="1">
      <alignment/>
    </xf>
    <xf numFmtId="164" fontId="25" fillId="11" borderId="1" xfId="0" applyFont="1" applyFill="1" applyBorder="1" applyAlignment="1">
      <alignment horizontal="center" vertical="center" wrapText="1"/>
    </xf>
    <xf numFmtId="172" fontId="25" fillId="11" borderId="1" xfId="0" applyNumberFormat="1" applyFont="1" applyFill="1" applyBorder="1" applyAlignment="1">
      <alignment horizontal="center" vertical="center" wrapText="1"/>
    </xf>
    <xf numFmtId="177" fontId="25" fillId="11" borderId="31" xfId="17" applyNumberFormat="1" applyFont="1" applyFill="1" applyBorder="1" applyAlignment="1" applyProtection="1">
      <alignment horizontal="center" vertical="center" wrapText="1"/>
      <protection/>
    </xf>
    <xf numFmtId="169" fontId="26" fillId="10" borderId="6" xfId="0" applyNumberFormat="1" applyFont="1" applyFill="1" applyBorder="1" applyAlignment="1">
      <alignment horizontal="center" vertical="center" wrapText="1"/>
    </xf>
    <xf numFmtId="169" fontId="26" fillId="10" borderId="6" xfId="19" applyFont="1" applyFill="1" applyBorder="1" applyAlignment="1" applyProtection="1">
      <alignment horizontal="center" vertical="center" wrapText="1"/>
      <protection/>
    </xf>
    <xf numFmtId="164" fontId="26" fillId="12" borderId="36" xfId="0" applyFont="1" applyFill="1" applyBorder="1" applyAlignment="1">
      <alignment horizontal="center" vertical="center" wrapText="1"/>
    </xf>
    <xf numFmtId="164" fontId="26" fillId="12" borderId="36" xfId="0" applyFont="1" applyFill="1" applyBorder="1" applyAlignment="1">
      <alignment vertical="center" wrapText="1"/>
    </xf>
    <xf numFmtId="168" fontId="26" fillId="12" borderId="36" xfId="0" applyNumberFormat="1" applyFont="1" applyFill="1" applyBorder="1" applyAlignment="1">
      <alignment horizontal="center" vertical="center" wrapText="1"/>
    </xf>
    <xf numFmtId="177" fontId="25" fillId="12" borderId="36" xfId="17" applyNumberFormat="1" applyFont="1" applyFill="1" applyBorder="1" applyAlignment="1" applyProtection="1">
      <alignment horizontal="center" vertical="center" wrapText="1"/>
      <protection/>
    </xf>
    <xf numFmtId="165" fontId="26" fillId="12" borderId="36" xfId="0" applyNumberFormat="1" applyFont="1" applyFill="1" applyBorder="1" applyAlignment="1">
      <alignment horizontal="center" vertical="center" wrapText="1"/>
    </xf>
    <xf numFmtId="172" fontId="25" fillId="12" borderId="36" xfId="19" applyNumberFormat="1" applyFont="1" applyFill="1" applyBorder="1" applyAlignment="1" applyProtection="1">
      <alignment horizontal="center" vertical="center" wrapText="1"/>
      <protection/>
    </xf>
    <xf numFmtId="178" fontId="25" fillId="12" borderId="37" xfId="17" applyNumberFormat="1" applyFont="1" applyFill="1" applyBorder="1" applyAlignment="1" applyProtection="1">
      <alignment horizontal="center" vertical="center" wrapText="1"/>
      <protection/>
    </xf>
    <xf numFmtId="164" fontId="25" fillId="11" borderId="28" xfId="0" applyFont="1" applyFill="1" applyBorder="1" applyAlignment="1">
      <alignment vertical="center" wrapText="1"/>
    </xf>
    <xf numFmtId="172" fontId="25" fillId="11" borderId="28" xfId="0" applyNumberFormat="1" applyFont="1" applyFill="1" applyBorder="1" applyAlignment="1">
      <alignment horizontal="center" vertical="center" wrapText="1"/>
    </xf>
    <xf numFmtId="169" fontId="25" fillId="11" borderId="28" xfId="19" applyFont="1" applyFill="1" applyBorder="1" applyAlignment="1" applyProtection="1">
      <alignment horizontal="center" vertical="center" wrapText="1"/>
      <protection/>
    </xf>
    <xf numFmtId="178" fontId="25" fillId="11" borderId="29" xfId="17" applyNumberFormat="1" applyFont="1" applyFill="1" applyBorder="1" applyAlignment="1" applyProtection="1">
      <alignment horizontal="center" vertical="center" wrapText="1"/>
      <protection/>
    </xf>
    <xf numFmtId="169" fontId="25" fillId="5" borderId="6" xfId="19" applyFont="1" applyFill="1" applyBorder="1" applyAlignment="1" applyProtection="1">
      <alignment horizontal="center" vertical="center" wrapText="1"/>
      <protection/>
    </xf>
    <xf numFmtId="171" fontId="25" fillId="5" borderId="6" xfId="0" applyNumberFormat="1" applyFont="1" applyFill="1" applyBorder="1" applyAlignment="1">
      <alignment horizontal="center" vertical="center" wrapText="1"/>
    </xf>
    <xf numFmtId="172" fontId="25" fillId="6" borderId="6" xfId="0" applyNumberFormat="1" applyFont="1" applyFill="1" applyBorder="1" applyAlignment="1">
      <alignment horizontal="center" vertical="center" wrapText="1"/>
    </xf>
    <xf numFmtId="168" fontId="26" fillId="6" borderId="6" xfId="0" applyNumberFormat="1" applyFont="1" applyFill="1" applyBorder="1" applyAlignment="1">
      <alignment horizontal="center" vertical="center" wrapText="1"/>
    </xf>
    <xf numFmtId="165" fontId="26" fillId="6" borderId="6" xfId="0" applyNumberFormat="1" applyFont="1" applyFill="1" applyBorder="1" applyAlignment="1">
      <alignment horizontal="center" vertical="center" wrapText="1"/>
    </xf>
    <xf numFmtId="169" fontId="26" fillId="6" borderId="6" xfId="19" applyFont="1" applyFill="1" applyBorder="1" applyAlignment="1" applyProtection="1">
      <alignment horizontal="center" vertical="center" wrapText="1"/>
      <protection/>
    </xf>
    <xf numFmtId="177" fontId="26" fillId="6" borderId="6" xfId="17" applyNumberFormat="1" applyFont="1" applyFill="1" applyBorder="1" applyAlignment="1" applyProtection="1">
      <alignment horizontal="center" vertical="center" wrapText="1"/>
      <protection/>
    </xf>
    <xf numFmtId="178" fontId="26" fillId="6" borderId="15" xfId="17" applyNumberFormat="1" applyFont="1" applyFill="1" applyBorder="1" applyAlignment="1" applyProtection="1">
      <alignment horizontal="center" vertical="center" wrapText="1"/>
      <protection/>
    </xf>
    <xf numFmtId="172" fontId="25" fillId="6" borderId="6" xfId="19" applyNumberFormat="1" applyFont="1" applyFill="1" applyBorder="1" applyAlignment="1" applyProtection="1">
      <alignment horizontal="center" vertical="center" wrapText="1"/>
      <protection/>
    </xf>
    <xf numFmtId="164" fontId="26" fillId="10" borderId="31" xfId="0" applyFont="1" applyFill="1" applyBorder="1" applyAlignment="1">
      <alignment horizontal="center" vertical="center" wrapText="1"/>
    </xf>
    <xf numFmtId="164" fontId="26" fillId="10" borderId="31" xfId="0" applyFont="1" applyFill="1" applyBorder="1" applyAlignment="1">
      <alignment vertical="center" wrapText="1"/>
    </xf>
    <xf numFmtId="169" fontId="26" fillId="10" borderId="31" xfId="0" applyNumberFormat="1" applyFont="1" applyFill="1" applyBorder="1" applyAlignment="1">
      <alignment horizontal="center" vertical="center" wrapText="1"/>
    </xf>
    <xf numFmtId="168" fontId="26" fillId="10" borderId="31" xfId="0" applyNumberFormat="1" applyFont="1" applyFill="1" applyBorder="1" applyAlignment="1">
      <alignment horizontal="center" vertical="center" wrapText="1"/>
    </xf>
    <xf numFmtId="177" fontId="26" fillId="10" borderId="31" xfId="17" applyNumberFormat="1" applyFont="1" applyFill="1" applyBorder="1" applyAlignment="1" applyProtection="1">
      <alignment horizontal="center" vertical="center" wrapText="1"/>
      <protection/>
    </xf>
    <xf numFmtId="165" fontId="26" fillId="10" borderId="31" xfId="0" applyNumberFormat="1" applyFont="1" applyFill="1" applyBorder="1" applyAlignment="1">
      <alignment horizontal="center" vertical="center" wrapText="1"/>
    </xf>
    <xf numFmtId="172" fontId="26" fillId="10" borderId="31" xfId="19" applyNumberFormat="1" applyFont="1" applyFill="1" applyBorder="1" applyAlignment="1" applyProtection="1">
      <alignment horizontal="center" vertical="center" wrapText="1"/>
      <protection/>
    </xf>
    <xf numFmtId="178" fontId="26" fillId="10" borderId="32" xfId="17" applyNumberFormat="1" applyFont="1" applyFill="1" applyBorder="1" applyAlignment="1" applyProtection="1">
      <alignment horizontal="center" vertical="center" wrapText="1"/>
      <protection/>
    </xf>
    <xf numFmtId="164" fontId="25" fillId="11" borderId="31" xfId="0" applyFont="1" applyFill="1" applyBorder="1" applyAlignment="1">
      <alignment horizontal="center" vertical="center" wrapText="1"/>
    </xf>
    <xf numFmtId="164" fontId="25" fillId="11" borderId="31" xfId="0" applyFont="1" applyFill="1" applyBorder="1" applyAlignment="1">
      <alignment vertical="center" wrapText="1"/>
    </xf>
    <xf numFmtId="168" fontId="25" fillId="11" borderId="31" xfId="0" applyNumberFormat="1" applyFont="1" applyFill="1" applyBorder="1" applyAlignment="1">
      <alignment horizontal="center" vertical="center" wrapText="1"/>
    </xf>
    <xf numFmtId="165" fontId="25" fillId="11" borderId="31" xfId="0" applyNumberFormat="1" applyFont="1" applyFill="1" applyBorder="1" applyAlignment="1">
      <alignment horizontal="center" vertical="center" wrapText="1"/>
    </xf>
    <xf numFmtId="164" fontId="26" fillId="10" borderId="38" xfId="0" applyFont="1" applyFill="1" applyBorder="1" applyAlignment="1">
      <alignment horizontal="center" vertical="center" wrapText="1"/>
    </xf>
    <xf numFmtId="164" fontId="26" fillId="10" borderId="38" xfId="0" applyFont="1" applyFill="1" applyBorder="1" applyAlignment="1">
      <alignment vertical="center" wrapText="1"/>
    </xf>
    <xf numFmtId="169" fontId="26" fillId="10" borderId="38" xfId="0" applyNumberFormat="1" applyFont="1" applyFill="1" applyBorder="1" applyAlignment="1">
      <alignment horizontal="center" vertical="center" wrapText="1"/>
    </xf>
    <xf numFmtId="168" fontId="26" fillId="10" borderId="38" xfId="0" applyNumberFormat="1" applyFont="1" applyFill="1" applyBorder="1" applyAlignment="1">
      <alignment horizontal="center" vertical="center" wrapText="1"/>
    </xf>
    <xf numFmtId="177" fontId="26" fillId="10" borderId="38" xfId="17" applyNumberFormat="1" applyFont="1" applyFill="1" applyBorder="1" applyAlignment="1" applyProtection="1">
      <alignment horizontal="center" vertical="center" wrapText="1"/>
      <protection/>
    </xf>
    <xf numFmtId="165" fontId="26" fillId="10" borderId="38" xfId="0" applyNumberFormat="1" applyFont="1" applyFill="1" applyBorder="1" applyAlignment="1">
      <alignment horizontal="center" vertical="center" wrapText="1"/>
    </xf>
    <xf numFmtId="172" fontId="26" fillId="10" borderId="38" xfId="19" applyNumberFormat="1" applyFont="1" applyFill="1" applyBorder="1" applyAlignment="1" applyProtection="1">
      <alignment horizontal="center" vertical="center" wrapText="1"/>
      <protection/>
    </xf>
    <xf numFmtId="178" fontId="26" fillId="10" borderId="11" xfId="17" applyNumberFormat="1" applyFont="1" applyFill="1" applyBorder="1" applyAlignment="1" applyProtection="1">
      <alignment horizontal="center" vertical="center" wrapText="1"/>
      <protection/>
    </xf>
    <xf numFmtId="164" fontId="24" fillId="11" borderId="35" xfId="0" applyFont="1" applyFill="1" applyBorder="1" applyAlignment="1">
      <alignment/>
    </xf>
    <xf numFmtId="164" fontId="24" fillId="11" borderId="6" xfId="0" applyFont="1" applyFill="1" applyBorder="1" applyAlignment="1">
      <alignment/>
    </xf>
    <xf numFmtId="169" fontId="25" fillId="6" borderId="17" xfId="0" applyNumberFormat="1" applyFont="1" applyFill="1" applyBorder="1" applyAlignment="1">
      <alignment horizontal="center" vertical="center" wrapText="1"/>
    </xf>
    <xf numFmtId="169" fontId="26" fillId="6" borderId="17" xfId="19" applyFont="1" applyFill="1" applyBorder="1" applyAlignment="1" applyProtection="1">
      <alignment horizontal="center" vertical="center" wrapText="1"/>
      <protection/>
    </xf>
    <xf numFmtId="177" fontId="26" fillId="6" borderId="17" xfId="17" applyNumberFormat="1" applyFont="1" applyFill="1" applyBorder="1" applyAlignment="1" applyProtection="1">
      <alignment horizontal="center" vertical="center" wrapText="1"/>
      <protection/>
    </xf>
    <xf numFmtId="172" fontId="26" fillId="6" borderId="17" xfId="19" applyNumberFormat="1" applyFont="1" applyFill="1" applyBorder="1" applyAlignment="1" applyProtection="1">
      <alignment horizontal="center" vertical="center" wrapText="1"/>
      <protection/>
    </xf>
    <xf numFmtId="164" fontId="25" fillId="11" borderId="17" xfId="0" applyFont="1" applyFill="1" applyBorder="1" applyAlignment="1">
      <alignment horizontal="center" vertical="center" wrapText="1"/>
    </xf>
    <xf numFmtId="164" fontId="25" fillId="11" borderId="17" xfId="0" applyFont="1" applyFill="1" applyBorder="1" applyAlignment="1">
      <alignment vertical="center" wrapText="1"/>
    </xf>
    <xf numFmtId="169" fontId="25" fillId="11" borderId="17" xfId="0" applyNumberFormat="1" applyFont="1" applyFill="1" applyBorder="1" applyAlignment="1">
      <alignment horizontal="center" vertical="center" wrapText="1"/>
    </xf>
    <xf numFmtId="168" fontId="25" fillId="11" borderId="17" xfId="0" applyNumberFormat="1" applyFont="1" applyFill="1" applyBorder="1" applyAlignment="1">
      <alignment horizontal="center" vertical="center" wrapText="1"/>
    </xf>
    <xf numFmtId="177" fontId="25" fillId="11" borderId="17" xfId="17" applyNumberFormat="1" applyFont="1" applyFill="1" applyBorder="1" applyAlignment="1" applyProtection="1">
      <alignment horizontal="center" vertical="center" wrapText="1"/>
      <protection/>
    </xf>
    <xf numFmtId="165" fontId="25" fillId="11" borderId="17" xfId="0" applyNumberFormat="1" applyFont="1" applyFill="1" applyBorder="1" applyAlignment="1">
      <alignment horizontal="center" vertical="center" wrapText="1"/>
    </xf>
    <xf numFmtId="169" fontId="26" fillId="11" borderId="17" xfId="19" applyFont="1" applyFill="1" applyBorder="1" applyAlignment="1" applyProtection="1">
      <alignment horizontal="center" vertical="center" wrapText="1"/>
      <protection/>
    </xf>
    <xf numFmtId="177" fontId="26" fillId="11" borderId="17" xfId="17" applyNumberFormat="1" applyFont="1" applyFill="1" applyBorder="1" applyAlignment="1" applyProtection="1">
      <alignment horizontal="center" vertical="center" wrapText="1"/>
      <protection/>
    </xf>
    <xf numFmtId="172" fontId="26" fillId="11" borderId="17" xfId="19" applyNumberFormat="1" applyFont="1" applyFill="1" applyBorder="1" applyAlignment="1" applyProtection="1">
      <alignment horizontal="center" vertical="center" wrapText="1"/>
      <protection/>
    </xf>
    <xf numFmtId="178" fontId="25" fillId="11" borderId="33" xfId="17" applyNumberFormat="1" applyFont="1" applyFill="1" applyBorder="1" applyAlignment="1" applyProtection="1">
      <alignment horizontal="center" vertical="center" wrapText="1"/>
      <protection/>
    </xf>
    <xf numFmtId="164" fontId="25" fillId="5" borderId="28" xfId="0" applyFont="1" applyFill="1" applyBorder="1" applyAlignment="1">
      <alignment horizontal="center" vertical="center" wrapText="1"/>
    </xf>
    <xf numFmtId="169" fontId="25" fillId="5" borderId="6" xfId="0" applyNumberFormat="1" applyFont="1" applyFill="1" applyBorder="1" applyAlignment="1">
      <alignment horizontal="center" vertical="center" wrapText="1"/>
    </xf>
    <xf numFmtId="168" fontId="25" fillId="5" borderId="28" xfId="0" applyNumberFormat="1" applyFont="1" applyFill="1" applyBorder="1" applyAlignment="1">
      <alignment horizontal="center" vertical="center" wrapText="1"/>
    </xf>
    <xf numFmtId="165" fontId="25" fillId="5" borderId="28" xfId="0" applyNumberFormat="1" applyFont="1" applyFill="1" applyBorder="1" applyAlignment="1">
      <alignment horizontal="center" vertical="center" wrapText="1"/>
    </xf>
    <xf numFmtId="169" fontId="26" fillId="10" borderId="38" xfId="19" applyFont="1" applyFill="1" applyBorder="1" applyAlignment="1" applyProtection="1">
      <alignment horizontal="center" vertical="center" wrapText="1"/>
      <protection/>
    </xf>
    <xf numFmtId="169" fontId="26" fillId="10" borderId="31" xfId="19" applyFont="1" applyFill="1" applyBorder="1" applyAlignment="1" applyProtection="1">
      <alignment horizontal="center" vertical="center" wrapText="1"/>
      <protection/>
    </xf>
    <xf numFmtId="164" fontId="24" fillId="6" borderId="1" xfId="0" applyFont="1" applyFill="1" applyBorder="1" applyAlignment="1">
      <alignment horizontal="center"/>
    </xf>
    <xf numFmtId="164" fontId="24" fillId="6" borderId="1" xfId="0" applyFont="1" applyFill="1" applyBorder="1" applyAlignment="1">
      <alignment/>
    </xf>
    <xf numFmtId="168" fontId="24" fillId="6" borderId="1" xfId="0" applyNumberFormat="1" applyFont="1" applyFill="1" applyBorder="1" applyAlignment="1">
      <alignment horizontal="center"/>
    </xf>
    <xf numFmtId="171" fontId="24" fillId="6" borderId="1" xfId="0" applyNumberFormat="1" applyFont="1" applyFill="1" applyBorder="1" applyAlignment="1">
      <alignment horizontal="center"/>
    </xf>
    <xf numFmtId="168" fontId="24" fillId="6" borderId="34" xfId="0" applyNumberFormat="1" applyFont="1" applyFill="1" applyBorder="1" applyAlignment="1">
      <alignment horizontal="center"/>
    </xf>
    <xf numFmtId="164" fontId="26" fillId="10" borderId="16" xfId="0" applyFont="1" applyFill="1" applyBorder="1" applyAlignment="1">
      <alignment horizontal="center" vertical="center" wrapText="1"/>
    </xf>
    <xf numFmtId="169" fontId="25" fillId="11" borderId="28" xfId="0" applyNumberFormat="1" applyFont="1" applyFill="1" applyBorder="1" applyAlignment="1">
      <alignment horizontal="center" vertical="center" wrapText="1"/>
    </xf>
    <xf numFmtId="169" fontId="25" fillId="12" borderId="31" xfId="19" applyFont="1" applyFill="1" applyBorder="1" applyAlignment="1" applyProtection="1">
      <alignment horizontal="center" vertical="center" wrapText="1"/>
      <protection/>
    </xf>
    <xf numFmtId="169" fontId="25" fillId="6" borderId="28" xfId="19" applyNumberFormat="1" applyFont="1" applyFill="1" applyBorder="1" applyAlignment="1" applyProtection="1">
      <alignment horizontal="center" vertical="center" wrapText="1"/>
      <protection/>
    </xf>
    <xf numFmtId="172" fontId="25" fillId="6" borderId="28" xfId="0" applyNumberFormat="1" applyFont="1" applyFill="1" applyBorder="1" applyAlignment="1">
      <alignment horizontal="center" vertical="center" wrapText="1"/>
    </xf>
    <xf numFmtId="169" fontId="25" fillId="12" borderId="36" xfId="19" applyFont="1" applyFill="1" applyBorder="1" applyAlignment="1" applyProtection="1">
      <alignment horizontal="center" vertical="center" wrapText="1"/>
      <protection/>
    </xf>
    <xf numFmtId="164" fontId="25" fillId="10" borderId="17" xfId="0" applyFont="1" applyFill="1" applyBorder="1" applyAlignment="1">
      <alignment vertical="center" wrapText="1"/>
    </xf>
    <xf numFmtId="164" fontId="25" fillId="6" borderId="38" xfId="0" applyFont="1" applyFill="1" applyBorder="1" applyAlignment="1">
      <alignment horizontal="center" vertical="center" wrapText="1"/>
    </xf>
    <xf numFmtId="164" fontId="25" fillId="6" borderId="38" xfId="0" applyFont="1" applyFill="1" applyBorder="1" applyAlignment="1">
      <alignment vertical="center" wrapText="1"/>
    </xf>
    <xf numFmtId="169" fontId="25" fillId="6" borderId="38" xfId="0" applyNumberFormat="1" applyFont="1" applyFill="1" applyBorder="1" applyAlignment="1">
      <alignment horizontal="center" vertical="center" wrapText="1"/>
    </xf>
    <xf numFmtId="168" fontId="26" fillId="6" borderId="17" xfId="0" applyNumberFormat="1" applyFont="1" applyFill="1" applyBorder="1" applyAlignment="1">
      <alignment horizontal="center" vertical="center" wrapText="1"/>
    </xf>
    <xf numFmtId="165" fontId="26" fillId="6" borderId="17" xfId="0" applyNumberFormat="1" applyFont="1" applyFill="1" applyBorder="1" applyAlignment="1">
      <alignment horizontal="center" vertical="center" wrapText="1"/>
    </xf>
    <xf numFmtId="164" fontId="25" fillId="11" borderId="38" xfId="0" applyFont="1" applyFill="1" applyBorder="1" applyAlignment="1">
      <alignment horizontal="center" vertical="center" wrapText="1"/>
    </xf>
    <xf numFmtId="164" fontId="25" fillId="11" borderId="38" xfId="0" applyFont="1" applyFill="1" applyBorder="1" applyAlignment="1">
      <alignment vertical="center" wrapText="1"/>
    </xf>
    <xf numFmtId="169" fontId="25" fillId="11" borderId="38" xfId="0" applyNumberFormat="1" applyFont="1" applyFill="1" applyBorder="1" applyAlignment="1">
      <alignment horizontal="center" vertical="center" wrapText="1"/>
    </xf>
    <xf numFmtId="168" fontId="26" fillId="11" borderId="17" xfId="0" applyNumberFormat="1" applyFont="1" applyFill="1" applyBorder="1" applyAlignment="1">
      <alignment horizontal="center" vertical="center" wrapText="1"/>
    </xf>
    <xf numFmtId="165" fontId="26" fillId="11" borderId="17" xfId="0" applyNumberFormat="1" applyFont="1" applyFill="1" applyBorder="1" applyAlignment="1">
      <alignment horizontal="center" vertical="center" wrapText="1"/>
    </xf>
    <xf numFmtId="169" fontId="25" fillId="11" borderId="17" xfId="19" applyFont="1" applyFill="1" applyBorder="1" applyAlignment="1" applyProtection="1">
      <alignment horizontal="center" vertical="center" wrapText="1"/>
      <protection/>
    </xf>
    <xf numFmtId="172" fontId="25" fillId="11" borderId="17" xfId="19" applyNumberFormat="1" applyFont="1" applyFill="1" applyBorder="1" applyAlignment="1" applyProtection="1">
      <alignment horizontal="center" vertical="center" wrapText="1"/>
      <protection/>
    </xf>
    <xf numFmtId="168" fontId="26" fillId="6" borderId="38" xfId="0" applyNumberFormat="1" applyFont="1" applyFill="1" applyBorder="1" applyAlignment="1">
      <alignment horizontal="center" vertical="center" wrapText="1"/>
    </xf>
    <xf numFmtId="177" fontId="25" fillId="6" borderId="38" xfId="17" applyNumberFormat="1" applyFont="1" applyFill="1" applyBorder="1" applyAlignment="1" applyProtection="1">
      <alignment horizontal="center" vertical="center" wrapText="1"/>
      <protection/>
    </xf>
    <xf numFmtId="165" fontId="26" fillId="6" borderId="38" xfId="0" applyNumberFormat="1" applyFont="1" applyFill="1" applyBorder="1" applyAlignment="1">
      <alignment horizontal="center" vertical="center" wrapText="1"/>
    </xf>
    <xf numFmtId="169" fontId="25" fillId="6" borderId="38" xfId="19" applyFont="1" applyFill="1" applyBorder="1" applyAlignment="1" applyProtection="1">
      <alignment horizontal="center" vertical="center" wrapText="1"/>
      <protection/>
    </xf>
    <xf numFmtId="172" fontId="25" fillId="6" borderId="38" xfId="19" applyNumberFormat="1" applyFont="1" applyFill="1" applyBorder="1" applyAlignment="1" applyProtection="1">
      <alignment horizontal="center" vertical="center" wrapText="1"/>
      <protection/>
    </xf>
    <xf numFmtId="169" fontId="33" fillId="6" borderId="28" xfId="0" applyNumberFormat="1" applyFont="1" applyFill="1" applyBorder="1" applyAlignment="1">
      <alignment horizontal="center" vertical="center" wrapText="1"/>
    </xf>
    <xf numFmtId="172" fontId="33" fillId="11" borderId="6" xfId="0" applyNumberFormat="1" applyFont="1" applyFill="1" applyBorder="1" applyAlignment="1">
      <alignment horizontal="center" vertical="center" wrapText="1"/>
    </xf>
    <xf numFmtId="169" fontId="33" fillId="6" borderId="1" xfId="0" applyNumberFormat="1" applyFont="1" applyFill="1" applyBorder="1" applyAlignment="1">
      <alignment horizontal="center" vertical="center" wrapText="1"/>
    </xf>
    <xf numFmtId="172" fontId="33" fillId="11" borderId="1" xfId="0" applyNumberFormat="1" applyFont="1" applyFill="1" applyBorder="1" applyAlignment="1">
      <alignment horizontal="center" vertical="center" wrapText="1"/>
    </xf>
    <xf numFmtId="164" fontId="25" fillId="5" borderId="1" xfId="0" applyFont="1" applyFill="1" applyBorder="1" applyAlignment="1">
      <alignment horizontal="center" vertical="center" wrapText="1"/>
    </xf>
    <xf numFmtId="172" fontId="33" fillId="5" borderId="1" xfId="0" applyNumberFormat="1" applyFont="1" applyFill="1" applyBorder="1" applyAlignment="1">
      <alignment horizontal="center" vertical="center" wrapText="1"/>
    </xf>
    <xf numFmtId="165" fontId="25" fillId="5" borderId="1" xfId="0" applyNumberFormat="1" applyFont="1" applyFill="1" applyBorder="1" applyAlignment="1">
      <alignment horizontal="center" vertical="center" wrapText="1"/>
    </xf>
    <xf numFmtId="168" fontId="24" fillId="0" borderId="0" xfId="0" applyNumberFormat="1" applyFont="1" applyFill="1" applyBorder="1" applyAlignment="1">
      <alignment horizontal="center"/>
    </xf>
    <xf numFmtId="169" fontId="26" fillId="6" borderId="6" xfId="0" applyNumberFormat="1" applyFont="1" applyFill="1" applyBorder="1" applyAlignment="1">
      <alignment horizontal="center" vertical="center" wrapText="1"/>
    </xf>
    <xf numFmtId="168" fontId="26" fillId="11" borderId="6" xfId="0" applyNumberFormat="1" applyFont="1" applyFill="1" applyBorder="1" applyAlignment="1">
      <alignment horizontal="center" vertical="center" wrapText="1"/>
    </xf>
    <xf numFmtId="165" fontId="26" fillId="11" borderId="6" xfId="0" applyNumberFormat="1" applyFont="1" applyFill="1" applyBorder="1" applyAlignment="1">
      <alignment horizontal="center" vertical="center" wrapText="1"/>
    </xf>
    <xf numFmtId="172" fontId="25" fillId="11" borderId="6" xfId="19" applyNumberFormat="1" applyFont="1" applyFill="1" applyBorder="1" applyAlignment="1" applyProtection="1">
      <alignment horizontal="center" vertical="center" wrapText="1"/>
      <protection/>
    </xf>
    <xf numFmtId="164" fontId="26" fillId="12" borderId="6" xfId="0" applyFont="1" applyFill="1" applyBorder="1" applyAlignment="1">
      <alignment horizontal="center" vertical="center" wrapText="1"/>
    </xf>
    <xf numFmtId="164" fontId="26" fillId="12" borderId="6" xfId="0" applyFont="1" applyFill="1" applyBorder="1" applyAlignment="1">
      <alignment vertical="center" wrapText="1"/>
    </xf>
    <xf numFmtId="168" fontId="26" fillId="12" borderId="6" xfId="0" applyNumberFormat="1" applyFont="1" applyFill="1" applyBorder="1" applyAlignment="1">
      <alignment horizontal="center" vertical="center" wrapText="1"/>
    </xf>
    <xf numFmtId="177" fontId="25" fillId="12" borderId="6" xfId="17" applyNumberFormat="1" applyFont="1" applyFill="1" applyBorder="1" applyAlignment="1" applyProtection="1">
      <alignment horizontal="center" vertical="center" wrapText="1"/>
      <protection/>
    </xf>
    <xf numFmtId="165" fontId="26" fillId="12" borderId="6" xfId="0" applyNumberFormat="1" applyFont="1" applyFill="1" applyBorder="1" applyAlignment="1">
      <alignment horizontal="center" vertical="center" wrapText="1"/>
    </xf>
    <xf numFmtId="169" fontId="25" fillId="12" borderId="6" xfId="19" applyFont="1" applyFill="1" applyBorder="1" applyAlignment="1" applyProtection="1">
      <alignment horizontal="center" vertical="center" wrapText="1"/>
      <protection/>
    </xf>
    <xf numFmtId="178" fontId="25" fillId="12" borderId="15" xfId="17" applyNumberFormat="1" applyFont="1" applyFill="1" applyBorder="1" applyAlignment="1" applyProtection="1">
      <alignment horizontal="center" vertical="center" wrapText="1"/>
      <protection/>
    </xf>
    <xf numFmtId="164" fontId="26" fillId="10" borderId="39" xfId="0" applyFont="1" applyFill="1" applyBorder="1" applyAlignment="1">
      <alignment horizontal="center" vertical="center" wrapText="1"/>
    </xf>
    <xf numFmtId="164" fontId="26" fillId="10" borderId="39" xfId="0" applyFont="1" applyFill="1" applyBorder="1" applyAlignment="1">
      <alignment vertical="center" wrapText="1"/>
    </xf>
    <xf numFmtId="169" fontId="26" fillId="10" borderId="39" xfId="0" applyNumberFormat="1" applyFont="1" applyFill="1" applyBorder="1" applyAlignment="1">
      <alignment horizontal="center" vertical="center" wrapText="1"/>
    </xf>
    <xf numFmtId="168" fontId="26" fillId="10" borderId="39" xfId="0" applyNumberFormat="1" applyFont="1" applyFill="1" applyBorder="1" applyAlignment="1">
      <alignment horizontal="center" vertical="center" wrapText="1"/>
    </xf>
    <xf numFmtId="177" fontId="26" fillId="10" borderId="39" xfId="17" applyNumberFormat="1" applyFont="1" applyFill="1" applyBorder="1" applyAlignment="1" applyProtection="1">
      <alignment horizontal="center" vertical="center" wrapText="1"/>
      <protection/>
    </xf>
    <xf numFmtId="165" fontId="26" fillId="10" borderId="39" xfId="0" applyNumberFormat="1" applyFont="1" applyFill="1" applyBorder="1" applyAlignment="1">
      <alignment horizontal="center" vertical="center" wrapText="1"/>
    </xf>
    <xf numFmtId="169" fontId="26" fillId="10" borderId="39" xfId="19" applyFont="1" applyFill="1" applyBorder="1" applyAlignment="1" applyProtection="1">
      <alignment horizontal="center" vertical="center" wrapText="1"/>
      <protection/>
    </xf>
    <xf numFmtId="172" fontId="26" fillId="10" borderId="39" xfId="19" applyNumberFormat="1" applyFont="1" applyFill="1" applyBorder="1" applyAlignment="1" applyProtection="1">
      <alignment horizontal="center" vertical="center" wrapText="1"/>
      <protection/>
    </xf>
    <xf numFmtId="168" fontId="33" fillId="6" borderId="28" xfId="0" applyNumberFormat="1" applyFont="1" applyFill="1" applyBorder="1" applyAlignment="1">
      <alignment horizontal="center" vertical="center" wrapText="1"/>
    </xf>
    <xf numFmtId="168" fontId="33" fillId="6" borderId="1" xfId="0" applyNumberFormat="1" applyFont="1" applyFill="1" applyBorder="1" applyAlignment="1">
      <alignment horizontal="center" vertical="center" wrapText="1"/>
    </xf>
    <xf numFmtId="164" fontId="37" fillId="6" borderId="6" xfId="0" applyFont="1" applyFill="1" applyBorder="1" applyAlignment="1">
      <alignment vertical="center" wrapText="1"/>
    </xf>
    <xf numFmtId="169" fontId="33" fillId="6" borderId="6" xfId="0" applyNumberFormat="1" applyFont="1" applyFill="1" applyBorder="1" applyAlignment="1">
      <alignment horizontal="center" vertical="center" wrapText="1"/>
    </xf>
    <xf numFmtId="179" fontId="25" fillId="6" borderId="31" xfId="19" applyNumberFormat="1" applyFont="1" applyFill="1" applyBorder="1" applyAlignment="1" applyProtection="1">
      <alignment horizontal="center" vertical="center" wrapText="1"/>
      <protection/>
    </xf>
    <xf numFmtId="164" fontId="26" fillId="6" borderId="6" xfId="0" applyFont="1" applyFill="1" applyBorder="1" applyAlignment="1">
      <alignment horizontal="center" vertical="center" wrapText="1"/>
    </xf>
    <xf numFmtId="164" fontId="26" fillId="6" borderId="6" xfId="0" applyFont="1" applyFill="1" applyBorder="1" applyAlignment="1">
      <alignment vertical="center" wrapText="1"/>
    </xf>
    <xf numFmtId="172" fontId="26" fillId="6" borderId="6" xfId="19" applyNumberFormat="1" applyFont="1" applyFill="1" applyBorder="1" applyAlignment="1" applyProtection="1">
      <alignment horizontal="center" vertical="center" wrapText="1"/>
      <protection/>
    </xf>
    <xf numFmtId="164" fontId="25" fillId="13" borderId="28" xfId="0" applyFont="1" applyFill="1" applyBorder="1" applyAlignment="1">
      <alignment horizontal="center" vertical="center" wrapText="1"/>
    </xf>
    <xf numFmtId="164" fontId="26" fillId="13" borderId="39" xfId="0" applyFont="1" applyFill="1" applyBorder="1" applyAlignment="1">
      <alignment horizontal="center" vertical="center" wrapText="1"/>
    </xf>
    <xf numFmtId="168" fontId="26" fillId="13" borderId="39" xfId="0" applyNumberFormat="1" applyFont="1" applyFill="1" applyBorder="1" applyAlignment="1">
      <alignment horizontal="center" vertical="center" wrapText="1"/>
    </xf>
    <xf numFmtId="172" fontId="26" fillId="13" borderId="39" xfId="19" applyNumberFormat="1" applyFont="1" applyFill="1" applyBorder="1" applyAlignment="1" applyProtection="1">
      <alignment horizontal="center" vertical="center" wrapText="1"/>
      <protection/>
    </xf>
    <xf numFmtId="177" fontId="26" fillId="13" borderId="39" xfId="17" applyNumberFormat="1" applyFont="1" applyFill="1" applyBorder="1" applyAlignment="1" applyProtection="1">
      <alignment horizontal="center" vertical="center" wrapText="1"/>
      <protection/>
    </xf>
    <xf numFmtId="177" fontId="26" fillId="13" borderId="17" xfId="17" applyNumberFormat="1" applyFont="1" applyFill="1" applyBorder="1" applyAlignment="1" applyProtection="1">
      <alignment horizontal="center" vertical="center" wrapText="1"/>
      <protection/>
    </xf>
    <xf numFmtId="172" fontId="26" fillId="13" borderId="17" xfId="19" applyNumberFormat="1" applyFont="1" applyFill="1" applyBorder="1" applyAlignment="1" applyProtection="1">
      <alignment horizontal="center" vertical="center" wrapText="1"/>
      <protection/>
    </xf>
    <xf numFmtId="178" fontId="26" fillId="13" borderId="33" xfId="17" applyNumberFormat="1" applyFont="1" applyFill="1" applyBorder="1" applyAlignment="1" applyProtection="1">
      <alignment horizontal="center" vertical="center" wrapText="1"/>
      <protection/>
    </xf>
    <xf numFmtId="168" fontId="32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 horizontal="center" vertical="center" wrapText="1"/>
    </xf>
    <xf numFmtId="168" fontId="25" fillId="0" borderId="40" xfId="0" applyNumberFormat="1" applyFont="1" applyFill="1" applyBorder="1" applyAlignment="1">
      <alignment horizontal="center" vertical="center" wrapText="1"/>
    </xf>
    <xf numFmtId="168" fontId="26" fillId="0" borderId="28" xfId="0" applyNumberFormat="1" applyFont="1" applyBorder="1" applyAlignment="1">
      <alignment horizontal="center" vertical="center" wrapText="1"/>
    </xf>
    <xf numFmtId="178" fontId="26" fillId="0" borderId="29" xfId="15" applyNumberFormat="1" applyFont="1" applyFill="1" applyBorder="1" applyAlignment="1" applyProtection="1">
      <alignment horizontal="center" vertical="center" wrapText="1"/>
      <protection/>
    </xf>
    <xf numFmtId="168" fontId="26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Border="1" applyAlignment="1">
      <alignment horizontal="center" vertical="center" wrapText="1"/>
    </xf>
    <xf numFmtId="168" fontId="26" fillId="0" borderId="0" xfId="0" applyNumberFormat="1" applyFont="1" applyBorder="1" applyAlignment="1">
      <alignment horizontal="center" vertical="center" wrapText="1"/>
    </xf>
    <xf numFmtId="164" fontId="28" fillId="0" borderId="0" xfId="0" applyFont="1" applyFill="1" applyAlignment="1">
      <alignment/>
    </xf>
    <xf numFmtId="164" fontId="28" fillId="0" borderId="0" xfId="0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4" fontId="28" fillId="0" borderId="0" xfId="0" applyFont="1" applyAlignment="1">
      <alignment horizontal="center"/>
    </xf>
    <xf numFmtId="168" fontId="28" fillId="0" borderId="0" xfId="0" applyNumberFormat="1" applyFont="1" applyAlignment="1">
      <alignment horizontal="center"/>
    </xf>
    <xf numFmtId="177" fontId="24" fillId="0" borderId="0" xfId="0" applyNumberFormat="1" applyFont="1" applyAlignment="1">
      <alignment horizontal="center"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71" fontId="39" fillId="0" borderId="0" xfId="0" applyNumberFormat="1" applyFont="1" applyAlignment="1">
      <alignment/>
    </xf>
    <xf numFmtId="164" fontId="41" fillId="0" borderId="0" xfId="0" applyFont="1" applyBorder="1" applyAlignment="1">
      <alignment horizontal="center"/>
    </xf>
    <xf numFmtId="164" fontId="42" fillId="14" borderId="16" xfId="0" applyFont="1" applyFill="1" applyBorder="1" applyAlignment="1">
      <alignment horizontal="center" vertical="center" wrapText="1"/>
    </xf>
    <xf numFmtId="164" fontId="42" fillId="14" borderId="17" xfId="0" applyFont="1" applyFill="1" applyBorder="1" applyAlignment="1">
      <alignment horizontal="center" vertical="center" wrapText="1"/>
    </xf>
    <xf numFmtId="165" fontId="41" fillId="14" borderId="17" xfId="0" applyNumberFormat="1" applyFont="1" applyFill="1" applyBorder="1" applyAlignment="1">
      <alignment horizontal="center" vertical="center" wrapText="1"/>
    </xf>
    <xf numFmtId="171" fontId="42" fillId="14" borderId="17" xfId="0" applyNumberFormat="1" applyFont="1" applyFill="1" applyBorder="1" applyAlignment="1">
      <alignment horizontal="center" vertical="center" wrapText="1"/>
    </xf>
    <xf numFmtId="164" fontId="42" fillId="14" borderId="41" xfId="0" applyFont="1" applyFill="1" applyBorder="1" applyAlignment="1">
      <alignment horizontal="center" vertical="center" wrapText="1"/>
    </xf>
    <xf numFmtId="164" fontId="43" fillId="0" borderId="42" xfId="0" applyFont="1" applyBorder="1" applyAlignment="1">
      <alignment horizontal="center" vertical="center" wrapText="1"/>
    </xf>
    <xf numFmtId="164" fontId="43" fillId="0" borderId="39" xfId="0" applyFont="1" applyBorder="1" applyAlignment="1">
      <alignment horizontal="center" vertical="center" wrapText="1"/>
    </xf>
    <xf numFmtId="164" fontId="43" fillId="0" borderId="43" xfId="0" applyFont="1" applyBorder="1" applyAlignment="1">
      <alignment horizontal="center" vertical="center" wrapText="1"/>
    </xf>
    <xf numFmtId="164" fontId="41" fillId="4" borderId="7" xfId="0" applyFont="1" applyFill="1" applyBorder="1" applyAlignment="1">
      <alignment horizontal="center" vertical="center" wrapText="1"/>
    </xf>
    <xf numFmtId="164" fontId="41" fillId="4" borderId="6" xfId="0" applyFont="1" applyFill="1" applyBorder="1" applyAlignment="1">
      <alignment vertical="center" wrapText="1"/>
    </xf>
    <xf numFmtId="164" fontId="41" fillId="4" borderId="6" xfId="0" applyFont="1" applyFill="1" applyBorder="1" applyAlignment="1">
      <alignment horizontal="center" vertical="center" wrapText="1"/>
    </xf>
    <xf numFmtId="165" fontId="41" fillId="4" borderId="6" xfId="0" applyNumberFormat="1" applyFont="1" applyFill="1" applyBorder="1" applyAlignment="1">
      <alignment horizontal="center" vertical="center" wrapText="1"/>
    </xf>
    <xf numFmtId="171" fontId="39" fillId="4" borderId="6" xfId="17" applyNumberFormat="1" applyFont="1" applyFill="1" applyBorder="1" applyAlignment="1" applyProtection="1">
      <alignment/>
      <protection/>
    </xf>
    <xf numFmtId="169" fontId="43" fillId="4" borderId="6" xfId="19" applyFont="1" applyFill="1" applyBorder="1" applyAlignment="1" applyProtection="1">
      <alignment horizontal="center"/>
      <protection/>
    </xf>
    <xf numFmtId="177" fontId="43" fillId="4" borderId="6" xfId="17" applyNumberFormat="1" applyFont="1" applyFill="1" applyBorder="1" applyAlignment="1" applyProtection="1">
      <alignment horizontal="right" vertical="center"/>
      <protection/>
    </xf>
    <xf numFmtId="172" fontId="43" fillId="4" borderId="6" xfId="19" applyNumberFormat="1" applyFont="1" applyFill="1" applyBorder="1" applyAlignment="1" applyProtection="1">
      <alignment horizontal="center" vertical="center" wrapText="1"/>
      <protection/>
    </xf>
    <xf numFmtId="164" fontId="43" fillId="4" borderId="5" xfId="0" applyFont="1" applyFill="1" applyBorder="1" applyAlignment="1">
      <alignment horizontal="center" vertical="center" wrapText="1"/>
    </xf>
    <xf numFmtId="164" fontId="43" fillId="13" borderId="7" xfId="0" applyFont="1" applyFill="1" applyBorder="1" applyAlignment="1">
      <alignment horizontal="center" vertical="center" wrapText="1"/>
    </xf>
    <xf numFmtId="164" fontId="43" fillId="13" borderId="6" xfId="0" applyFont="1" applyFill="1" applyBorder="1" applyAlignment="1">
      <alignment vertical="center" wrapText="1"/>
    </xf>
    <xf numFmtId="169" fontId="43" fillId="13" borderId="6" xfId="0" applyNumberFormat="1" applyFont="1" applyFill="1" applyBorder="1" applyAlignment="1">
      <alignment horizontal="center" vertical="center" wrapText="1"/>
    </xf>
    <xf numFmtId="165" fontId="43" fillId="13" borderId="6" xfId="0" applyNumberFormat="1" applyFont="1" applyFill="1" applyBorder="1" applyAlignment="1">
      <alignment horizontal="center" vertical="center" wrapText="1"/>
    </xf>
    <xf numFmtId="171" fontId="43" fillId="13" borderId="6" xfId="17" applyNumberFormat="1" applyFont="1" applyFill="1" applyBorder="1" applyAlignment="1" applyProtection="1">
      <alignment/>
      <protection/>
    </xf>
    <xf numFmtId="169" fontId="43" fillId="13" borderId="6" xfId="19" applyFont="1" applyFill="1" applyBorder="1" applyAlignment="1" applyProtection="1">
      <alignment horizontal="center"/>
      <protection/>
    </xf>
    <xf numFmtId="177" fontId="43" fillId="13" borderId="6" xfId="17" applyNumberFormat="1" applyFont="1" applyFill="1" applyBorder="1" applyAlignment="1" applyProtection="1">
      <alignment horizontal="right" vertical="center"/>
      <protection/>
    </xf>
    <xf numFmtId="169" fontId="43" fillId="13" borderId="6" xfId="19" applyFont="1" applyFill="1" applyBorder="1" applyAlignment="1" applyProtection="1">
      <alignment horizontal="center" vertical="center" wrapText="1"/>
      <protection/>
    </xf>
    <xf numFmtId="164" fontId="43" fillId="13" borderId="5" xfId="0" applyFont="1" applyFill="1" applyBorder="1" applyAlignment="1">
      <alignment horizontal="center" vertical="center" wrapText="1"/>
    </xf>
    <xf numFmtId="164" fontId="0" fillId="13" borderId="0" xfId="0" applyFill="1" applyAlignment="1">
      <alignment/>
    </xf>
    <xf numFmtId="164" fontId="39" fillId="4" borderId="7" xfId="0" applyFont="1" applyFill="1" applyBorder="1" applyAlignment="1">
      <alignment horizontal="center" vertical="center" wrapText="1"/>
    </xf>
    <xf numFmtId="164" fontId="39" fillId="4" borderId="6" xfId="0" applyFont="1" applyFill="1" applyBorder="1" applyAlignment="1">
      <alignment vertical="center" wrapText="1"/>
    </xf>
    <xf numFmtId="172" fontId="39" fillId="4" borderId="6" xfId="19" applyNumberFormat="1" applyFont="1" applyFill="1" applyBorder="1" applyAlignment="1" applyProtection="1">
      <alignment horizontal="center" vertical="center" wrapText="1"/>
      <protection/>
    </xf>
    <xf numFmtId="170" fontId="43" fillId="4" borderId="6" xfId="0" applyNumberFormat="1" applyFont="1" applyFill="1" applyBorder="1" applyAlignment="1">
      <alignment horizontal="center" vertical="center" wrapText="1"/>
    </xf>
    <xf numFmtId="171" fontId="43" fillId="4" borderId="6" xfId="17" applyNumberFormat="1" applyFont="1" applyFill="1" applyBorder="1" applyAlignment="1" applyProtection="1">
      <alignment/>
      <protection/>
    </xf>
    <xf numFmtId="171" fontId="43" fillId="4" borderId="6" xfId="0" applyNumberFormat="1" applyFont="1" applyFill="1" applyBorder="1" applyAlignment="1">
      <alignment horizontal="center" vertical="center" wrapText="1"/>
    </xf>
    <xf numFmtId="169" fontId="43" fillId="4" borderId="6" xfId="19" applyFont="1" applyFill="1" applyBorder="1" applyAlignment="1" applyProtection="1">
      <alignment horizontal="center" vertical="center" wrapText="1"/>
      <protection/>
    </xf>
    <xf numFmtId="164" fontId="43" fillId="4" borderId="7" xfId="0" applyFont="1" applyFill="1" applyBorder="1" applyAlignment="1">
      <alignment horizontal="center" vertical="center" wrapText="1"/>
    </xf>
    <xf numFmtId="164" fontId="43" fillId="4" borderId="6" xfId="0" applyFont="1" applyFill="1" applyBorder="1" applyAlignment="1">
      <alignment vertical="center" wrapText="1"/>
    </xf>
    <xf numFmtId="169" fontId="43" fillId="4" borderId="6" xfId="0" applyNumberFormat="1" applyFont="1" applyFill="1" applyBorder="1" applyAlignment="1">
      <alignment horizontal="center" vertical="center" wrapText="1"/>
    </xf>
    <xf numFmtId="165" fontId="43" fillId="4" borderId="6" xfId="0" applyNumberFormat="1" applyFont="1" applyFill="1" applyBorder="1" applyAlignment="1">
      <alignment horizontal="center" vertical="center" wrapText="1"/>
    </xf>
    <xf numFmtId="164" fontId="39" fillId="15" borderId="7" xfId="0" applyFont="1" applyFill="1" applyBorder="1" applyAlignment="1">
      <alignment horizontal="center" vertical="center" wrapText="1"/>
    </xf>
    <xf numFmtId="173" fontId="39" fillId="15" borderId="6" xfId="0" applyNumberFormat="1" applyFont="1" applyFill="1" applyBorder="1" applyAlignment="1">
      <alignment vertical="center" wrapText="1"/>
    </xf>
    <xf numFmtId="172" fontId="39" fillId="15" borderId="6" xfId="19" applyNumberFormat="1" applyFont="1" applyFill="1" applyBorder="1" applyAlignment="1" applyProtection="1">
      <alignment horizontal="center" vertical="center" wrapText="1"/>
      <protection/>
    </xf>
    <xf numFmtId="170" fontId="43" fillId="15" borderId="6" xfId="0" applyNumberFormat="1" applyFont="1" applyFill="1" applyBorder="1" applyAlignment="1">
      <alignment horizontal="center" vertical="center" wrapText="1"/>
    </xf>
    <xf numFmtId="171" fontId="43" fillId="15" borderId="6" xfId="17" applyNumberFormat="1" applyFont="1" applyFill="1" applyBorder="1" applyAlignment="1" applyProtection="1">
      <alignment/>
      <protection/>
    </xf>
    <xf numFmtId="169" fontId="43" fillId="15" borderId="6" xfId="19" applyFont="1" applyFill="1" applyBorder="1" applyAlignment="1" applyProtection="1">
      <alignment horizontal="center"/>
      <protection/>
    </xf>
    <xf numFmtId="177" fontId="43" fillId="15" borderId="6" xfId="17" applyNumberFormat="1" applyFont="1" applyFill="1" applyBorder="1" applyAlignment="1" applyProtection="1">
      <alignment horizontal="right" vertical="center"/>
      <protection/>
    </xf>
    <xf numFmtId="178" fontId="43" fillId="15" borderId="6" xfId="17" applyNumberFormat="1" applyFont="1" applyFill="1" applyBorder="1" applyAlignment="1" applyProtection="1">
      <alignment horizontal="center" vertical="center" wrapText="1"/>
      <protection/>
    </xf>
    <xf numFmtId="169" fontId="43" fillId="15" borderId="6" xfId="19" applyFont="1" applyFill="1" applyBorder="1" applyAlignment="1" applyProtection="1">
      <alignment horizontal="center" vertical="center" wrapText="1"/>
      <protection/>
    </xf>
    <xf numFmtId="164" fontId="43" fillId="15" borderId="5" xfId="0" applyFont="1" applyFill="1" applyBorder="1" applyAlignment="1">
      <alignment horizontal="center" vertical="center" wrapText="1"/>
    </xf>
    <xf numFmtId="164" fontId="0" fillId="15" borderId="0" xfId="0" applyFill="1" applyAlignment="1">
      <alignment/>
    </xf>
    <xf numFmtId="178" fontId="43" fillId="15" borderId="15" xfId="17" applyNumberFormat="1" applyFont="1" applyFill="1" applyBorder="1" applyAlignment="1" applyProtection="1">
      <alignment horizontal="center" vertical="center" wrapText="1"/>
      <protection/>
    </xf>
    <xf numFmtId="178" fontId="43" fillId="15" borderId="1" xfId="17" applyNumberFormat="1" applyFont="1" applyFill="1" applyBorder="1" applyAlignment="1" applyProtection="1">
      <alignment horizontal="center" vertical="center" wrapText="1"/>
      <protection/>
    </xf>
    <xf numFmtId="164" fontId="39" fillId="13" borderId="7" xfId="0" applyFont="1" applyFill="1" applyBorder="1" applyAlignment="1">
      <alignment horizontal="center" vertical="center" wrapText="1"/>
    </xf>
    <xf numFmtId="164" fontId="39" fillId="13" borderId="6" xfId="0" applyFont="1" applyFill="1" applyBorder="1" applyAlignment="1">
      <alignment vertical="center" wrapText="1"/>
    </xf>
    <xf numFmtId="169" fontId="39" fillId="13" borderId="6" xfId="0" applyNumberFormat="1" applyFont="1" applyFill="1" applyBorder="1" applyAlignment="1">
      <alignment horizontal="center" vertical="center" wrapText="1"/>
    </xf>
    <xf numFmtId="165" fontId="39" fillId="13" borderId="6" xfId="0" applyNumberFormat="1" applyFont="1" applyFill="1" applyBorder="1" applyAlignment="1">
      <alignment horizontal="center" vertical="center" wrapText="1"/>
    </xf>
    <xf numFmtId="171" fontId="39" fillId="13" borderId="6" xfId="17" applyNumberFormat="1" applyFont="1" applyFill="1" applyBorder="1" applyAlignment="1" applyProtection="1">
      <alignment/>
      <protection/>
    </xf>
    <xf numFmtId="169" fontId="39" fillId="13" borderId="6" xfId="19" applyFont="1" applyFill="1" applyBorder="1" applyAlignment="1" applyProtection="1">
      <alignment horizontal="center"/>
      <protection/>
    </xf>
    <xf numFmtId="177" fontId="39" fillId="13" borderId="6" xfId="17" applyNumberFormat="1" applyFont="1" applyFill="1" applyBorder="1" applyAlignment="1" applyProtection="1">
      <alignment horizontal="right" vertical="center"/>
      <protection/>
    </xf>
    <xf numFmtId="169" fontId="39" fillId="13" borderId="6" xfId="19" applyFont="1" applyFill="1" applyBorder="1" applyAlignment="1" applyProtection="1">
      <alignment horizontal="center" vertical="center" wrapText="1"/>
      <protection/>
    </xf>
    <xf numFmtId="164" fontId="39" fillId="13" borderId="5" xfId="0" applyFont="1" applyFill="1" applyBorder="1" applyAlignment="1">
      <alignment horizontal="center" vertical="center" wrapText="1"/>
    </xf>
    <xf numFmtId="179" fontId="43" fillId="4" borderId="6" xfId="19" applyNumberFormat="1" applyFont="1" applyFill="1" applyBorder="1" applyAlignment="1" applyProtection="1">
      <alignment horizontal="center"/>
      <protection/>
    </xf>
    <xf numFmtId="179" fontId="43" fillId="4" borderId="6" xfId="19" applyNumberFormat="1" applyFont="1" applyFill="1" applyBorder="1" applyAlignment="1" applyProtection="1">
      <alignment horizontal="center" vertical="center" wrapText="1"/>
      <protection/>
    </xf>
    <xf numFmtId="170" fontId="43" fillId="15" borderId="6" xfId="17" applyNumberFormat="1" applyFont="1" applyFill="1" applyBorder="1" applyAlignment="1" applyProtection="1">
      <alignment horizontal="center" vertical="center" wrapText="1"/>
      <protection/>
    </xf>
    <xf numFmtId="179" fontId="43" fillId="15" borderId="6" xfId="19" applyNumberFormat="1" applyFont="1" applyFill="1" applyBorder="1" applyAlignment="1" applyProtection="1">
      <alignment horizontal="center"/>
      <protection/>
    </xf>
    <xf numFmtId="179" fontId="43" fillId="15" borderId="6" xfId="19" applyNumberFormat="1" applyFont="1" applyFill="1" applyBorder="1" applyAlignment="1" applyProtection="1">
      <alignment horizontal="center" vertical="center" wrapText="1"/>
      <protection/>
    </xf>
    <xf numFmtId="164" fontId="39" fillId="10" borderId="7" xfId="0" applyFont="1" applyFill="1" applyBorder="1" applyAlignment="1">
      <alignment horizontal="center" vertical="center" wrapText="1"/>
    </xf>
    <xf numFmtId="173" fontId="39" fillId="10" borderId="6" xfId="0" applyNumberFormat="1" applyFont="1" applyFill="1" applyBorder="1" applyAlignment="1">
      <alignment vertical="center" wrapText="1"/>
    </xf>
    <xf numFmtId="172" fontId="39" fillId="10" borderId="6" xfId="19" applyNumberFormat="1" applyFont="1" applyFill="1" applyBorder="1" applyAlignment="1" applyProtection="1">
      <alignment horizontal="center" vertical="center" wrapText="1"/>
      <protection/>
    </xf>
    <xf numFmtId="170" fontId="43" fillId="10" borderId="6" xfId="17" applyNumberFormat="1" applyFont="1" applyFill="1" applyBorder="1" applyAlignment="1" applyProtection="1">
      <alignment horizontal="center" vertical="center" wrapText="1"/>
      <protection/>
    </xf>
    <xf numFmtId="171" fontId="43" fillId="10" borderId="6" xfId="17" applyNumberFormat="1" applyFont="1" applyFill="1" applyBorder="1" applyAlignment="1" applyProtection="1">
      <alignment/>
      <protection/>
    </xf>
    <xf numFmtId="179" fontId="43" fillId="10" borderId="6" xfId="19" applyNumberFormat="1" applyFont="1" applyFill="1" applyBorder="1" applyAlignment="1" applyProtection="1">
      <alignment horizontal="center"/>
      <protection/>
    </xf>
    <xf numFmtId="177" fontId="43" fillId="10" borderId="6" xfId="17" applyNumberFormat="1" applyFont="1" applyFill="1" applyBorder="1" applyAlignment="1" applyProtection="1">
      <alignment horizontal="right" vertical="center"/>
      <protection/>
    </xf>
    <xf numFmtId="179" fontId="43" fillId="10" borderId="6" xfId="19" applyNumberFormat="1" applyFont="1" applyFill="1" applyBorder="1" applyAlignment="1" applyProtection="1">
      <alignment horizontal="center" vertical="center" wrapText="1"/>
      <protection/>
    </xf>
    <xf numFmtId="164" fontId="43" fillId="10" borderId="5" xfId="0" applyFont="1" applyFill="1" applyBorder="1" applyAlignment="1">
      <alignment horizontal="center" vertical="center" wrapText="1"/>
    </xf>
    <xf numFmtId="164" fontId="43" fillId="4" borderId="6" xfId="0" applyFont="1" applyFill="1" applyBorder="1" applyAlignment="1">
      <alignment horizontal="left" vertical="center" wrapText="1"/>
    </xf>
    <xf numFmtId="164" fontId="43" fillId="15" borderId="6" xfId="0" applyFont="1" applyFill="1" applyBorder="1" applyAlignment="1">
      <alignment horizontal="left" vertical="center" wrapText="1"/>
    </xf>
    <xf numFmtId="164" fontId="43" fillId="15" borderId="7" xfId="0" applyFont="1" applyFill="1" applyBorder="1" applyAlignment="1">
      <alignment horizontal="center" vertical="center" wrapText="1"/>
    </xf>
    <xf numFmtId="164" fontId="43" fillId="15" borderId="6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164" fontId="43" fillId="6" borderId="7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vertical="center" wrapText="1"/>
    </xf>
    <xf numFmtId="172" fontId="39" fillId="6" borderId="6" xfId="19" applyNumberFormat="1" applyFont="1" applyFill="1" applyBorder="1" applyAlignment="1" applyProtection="1">
      <alignment horizontal="center" vertical="center" wrapText="1"/>
      <protection/>
    </xf>
    <xf numFmtId="170" fontId="43" fillId="6" borderId="6" xfId="17" applyNumberFormat="1" applyFont="1" applyFill="1" applyBorder="1" applyAlignment="1" applyProtection="1">
      <alignment horizontal="center" vertical="center" wrapText="1"/>
      <protection/>
    </xf>
    <xf numFmtId="171" fontId="43" fillId="6" borderId="6" xfId="17" applyNumberFormat="1" applyFont="1" applyFill="1" applyBorder="1" applyAlignment="1" applyProtection="1">
      <alignment/>
      <protection/>
    </xf>
    <xf numFmtId="169" fontId="43" fillId="6" borderId="6" xfId="19" applyFont="1" applyFill="1" applyBorder="1" applyAlignment="1" applyProtection="1">
      <alignment horizontal="center"/>
      <protection/>
    </xf>
    <xf numFmtId="177" fontId="43" fillId="6" borderId="6" xfId="17" applyNumberFormat="1" applyFont="1" applyFill="1" applyBorder="1" applyAlignment="1" applyProtection="1">
      <alignment horizontal="right" vertical="center"/>
      <protection/>
    </xf>
    <xf numFmtId="169" fontId="43" fillId="6" borderId="6" xfId="19" applyFont="1" applyFill="1" applyBorder="1" applyAlignment="1" applyProtection="1">
      <alignment horizontal="center" vertical="center" wrapText="1"/>
      <protection/>
    </xf>
    <xf numFmtId="164" fontId="43" fillId="6" borderId="5" xfId="0" applyFont="1" applyFill="1" applyBorder="1" applyAlignment="1">
      <alignment horizontal="center" vertical="center" wrapText="1"/>
    </xf>
    <xf numFmtId="164" fontId="42" fillId="2" borderId="7" xfId="0" applyFont="1" applyFill="1" applyBorder="1" applyAlignment="1">
      <alignment horizontal="center" vertical="center" wrapText="1"/>
    </xf>
    <xf numFmtId="164" fontId="42" fillId="2" borderId="6" xfId="0" applyFont="1" applyFill="1" applyBorder="1" applyAlignment="1">
      <alignment vertical="center" wrapText="1"/>
    </xf>
    <xf numFmtId="164" fontId="42" fillId="2" borderId="6" xfId="0" applyFont="1" applyFill="1" applyBorder="1" applyAlignment="1">
      <alignment horizontal="center" vertical="center" wrapText="1"/>
    </xf>
    <xf numFmtId="165" fontId="42" fillId="2" borderId="6" xfId="0" applyNumberFormat="1" applyFont="1" applyFill="1" applyBorder="1" applyAlignment="1">
      <alignment horizontal="center" vertical="center" wrapText="1"/>
    </xf>
    <xf numFmtId="171" fontId="42" fillId="2" borderId="6" xfId="17" applyNumberFormat="1" applyFont="1" applyFill="1" applyBorder="1" applyAlignment="1" applyProtection="1">
      <alignment horizontal="right" vertical="center" wrapText="1"/>
      <protection/>
    </xf>
    <xf numFmtId="169" fontId="43" fillId="2" borderId="6" xfId="19" applyFont="1" applyFill="1" applyBorder="1" applyAlignment="1" applyProtection="1">
      <alignment horizontal="center"/>
      <protection/>
    </xf>
    <xf numFmtId="177" fontId="43" fillId="2" borderId="6" xfId="17" applyNumberFormat="1" applyFont="1" applyFill="1" applyBorder="1" applyAlignment="1" applyProtection="1">
      <alignment horizontal="right" vertical="center"/>
      <protection/>
    </xf>
    <xf numFmtId="169" fontId="43" fillId="2" borderId="6" xfId="19" applyFont="1" applyFill="1" applyBorder="1" applyAlignment="1" applyProtection="1">
      <alignment horizontal="center" vertical="center" wrapText="1"/>
      <protection/>
    </xf>
    <xf numFmtId="164" fontId="43" fillId="2" borderId="5" xfId="0" applyFont="1" applyFill="1" applyBorder="1" applyAlignment="1">
      <alignment horizontal="center" vertical="center" wrapText="1"/>
    </xf>
    <xf numFmtId="171" fontId="43" fillId="13" borderId="6" xfId="17" applyNumberFormat="1" applyFont="1" applyFill="1" applyBorder="1" applyAlignment="1" applyProtection="1">
      <alignment horizontal="right" vertical="center" wrapText="1"/>
      <protection/>
    </xf>
    <xf numFmtId="171" fontId="43" fillId="4" borderId="6" xfId="17" applyNumberFormat="1" applyFont="1" applyFill="1" applyBorder="1" applyAlignment="1" applyProtection="1">
      <alignment horizontal="right" vertical="center" wrapText="1"/>
      <protection/>
    </xf>
    <xf numFmtId="168" fontId="0" fillId="0" borderId="0" xfId="0" applyNumberFormat="1" applyAlignment="1">
      <alignment/>
    </xf>
    <xf numFmtId="171" fontId="43" fillId="15" borderId="6" xfId="17" applyNumberFormat="1" applyFont="1" applyFill="1" applyBorder="1" applyAlignment="1" applyProtection="1">
      <alignment horizontal="right" vertical="center" wrapText="1"/>
      <protection/>
    </xf>
    <xf numFmtId="172" fontId="41" fillId="15" borderId="6" xfId="19" applyNumberFormat="1" applyFont="1" applyFill="1" applyBorder="1" applyAlignment="1" applyProtection="1">
      <alignment horizontal="center" vertical="center" wrapText="1"/>
      <protection/>
    </xf>
    <xf numFmtId="164" fontId="43" fillId="10" borderId="7" xfId="0" applyFont="1" applyFill="1" applyBorder="1" applyAlignment="1">
      <alignment horizontal="center" vertical="center" wrapText="1"/>
    </xf>
    <xf numFmtId="164" fontId="43" fillId="10" borderId="6" xfId="0" applyFont="1" applyFill="1" applyBorder="1" applyAlignment="1">
      <alignment vertical="center" wrapText="1"/>
    </xf>
    <xf numFmtId="172" fontId="41" fillId="10" borderId="6" xfId="19" applyNumberFormat="1" applyFont="1" applyFill="1" applyBorder="1" applyAlignment="1" applyProtection="1">
      <alignment horizontal="center" vertical="center" wrapText="1"/>
      <protection/>
    </xf>
    <xf numFmtId="171" fontId="43" fillId="10" borderId="6" xfId="17" applyNumberFormat="1" applyFont="1" applyFill="1" applyBorder="1" applyAlignment="1" applyProtection="1">
      <alignment horizontal="right" vertical="center" wrapText="1"/>
      <protection/>
    </xf>
    <xf numFmtId="169" fontId="43" fillId="10" borderId="6" xfId="19" applyFont="1" applyFill="1" applyBorder="1" applyAlignment="1" applyProtection="1">
      <alignment horizontal="center"/>
      <protection/>
    </xf>
    <xf numFmtId="169" fontId="43" fillId="10" borderId="6" xfId="1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74" fontId="43" fillId="10" borderId="6" xfId="17" applyFont="1" applyFill="1" applyBorder="1" applyAlignment="1" applyProtection="1">
      <alignment horizontal="center" vertical="center" wrapText="1"/>
      <protection/>
    </xf>
    <xf numFmtId="174" fontId="43" fillId="10" borderId="6" xfId="17" applyFont="1" applyFill="1" applyBorder="1" applyAlignment="1" applyProtection="1">
      <alignment horizontal="right" vertical="center" wrapText="1"/>
      <protection/>
    </xf>
    <xf numFmtId="174" fontId="43" fillId="13" borderId="6" xfId="17" applyFont="1" applyFill="1" applyBorder="1" applyAlignment="1" applyProtection="1">
      <alignment horizontal="center" vertical="center" wrapText="1"/>
      <protection/>
    </xf>
    <xf numFmtId="174" fontId="43" fillId="13" borderId="6" xfId="17" applyFont="1" applyFill="1" applyBorder="1" applyAlignment="1" applyProtection="1">
      <alignment horizontal="right" vertical="center" wrapText="1"/>
      <protection/>
    </xf>
    <xf numFmtId="172" fontId="43" fillId="4" borderId="6" xfId="0" applyNumberFormat="1" applyFont="1" applyFill="1" applyBorder="1" applyAlignment="1">
      <alignment horizontal="center" vertical="center" wrapText="1"/>
    </xf>
    <xf numFmtId="174" fontId="43" fillId="4" borderId="6" xfId="17" applyFont="1" applyFill="1" applyBorder="1" applyAlignment="1" applyProtection="1">
      <alignment horizontal="center" vertical="center" wrapText="1"/>
      <protection/>
    </xf>
    <xf numFmtId="174" fontId="43" fillId="4" borderId="6" xfId="17" applyFont="1" applyFill="1" applyBorder="1" applyAlignment="1" applyProtection="1">
      <alignment horizontal="right" vertical="center" wrapText="1"/>
      <protection/>
    </xf>
    <xf numFmtId="174" fontId="43" fillId="15" borderId="6" xfId="17" applyFont="1" applyFill="1" applyBorder="1" applyAlignment="1" applyProtection="1">
      <alignment horizontal="center" vertical="center" wrapText="1"/>
      <protection/>
    </xf>
    <xf numFmtId="174" fontId="43" fillId="15" borderId="6" xfId="17" applyFont="1" applyFill="1" applyBorder="1" applyAlignment="1" applyProtection="1">
      <alignment horizontal="right" vertical="center" wrapText="1"/>
      <protection/>
    </xf>
    <xf numFmtId="173" fontId="39" fillId="4" borderId="6" xfId="0" applyNumberFormat="1" applyFont="1" applyFill="1" applyBorder="1" applyAlignment="1">
      <alignment vertical="center" wrapText="1"/>
    </xf>
    <xf numFmtId="170" fontId="39" fillId="4" borderId="6" xfId="0" applyNumberFormat="1" applyFont="1" applyFill="1" applyBorder="1" applyAlignment="1">
      <alignment horizontal="center" vertical="center" wrapText="1"/>
    </xf>
    <xf numFmtId="170" fontId="43" fillId="4" borderId="6" xfId="17" applyNumberFormat="1" applyFont="1" applyFill="1" applyBorder="1" applyAlignment="1" applyProtection="1">
      <alignment horizontal="center" vertical="center" wrapText="1"/>
      <protection/>
    </xf>
    <xf numFmtId="170" fontId="0" fillId="0" borderId="0" xfId="0" applyNumberFormat="1" applyAlignment="1">
      <alignment/>
    </xf>
    <xf numFmtId="172" fontId="43" fillId="13" borderId="6" xfId="19" applyNumberFormat="1" applyFont="1" applyFill="1" applyBorder="1" applyAlignment="1" applyProtection="1">
      <alignment horizontal="center" vertical="center"/>
      <protection/>
    </xf>
    <xf numFmtId="172" fontId="43" fillId="13" borderId="6" xfId="19" applyNumberFormat="1" applyFont="1" applyFill="1" applyBorder="1" applyAlignment="1" applyProtection="1">
      <alignment horizontal="center" vertical="center" wrapText="1"/>
      <protection/>
    </xf>
    <xf numFmtId="164" fontId="41" fillId="13" borderId="6" xfId="0" applyFont="1" applyFill="1" applyBorder="1" applyAlignment="1">
      <alignment vertical="center" wrapText="1"/>
    </xf>
    <xf numFmtId="172" fontId="39" fillId="13" borderId="6" xfId="19" applyNumberFormat="1" applyFont="1" applyFill="1" applyBorder="1" applyAlignment="1" applyProtection="1">
      <alignment horizontal="center" vertical="center" wrapText="1"/>
      <protection/>
    </xf>
    <xf numFmtId="170" fontId="39" fillId="13" borderId="6" xfId="0" applyNumberFormat="1" applyFont="1" applyFill="1" applyBorder="1" applyAlignment="1">
      <alignment horizontal="center" vertical="center" wrapText="1"/>
    </xf>
    <xf numFmtId="170" fontId="41" fillId="4" borderId="6" xfId="0" applyNumberFormat="1" applyFont="1" applyFill="1" applyBorder="1" applyAlignment="1">
      <alignment horizontal="center" vertical="center" wrapText="1"/>
    </xf>
    <xf numFmtId="164" fontId="39" fillId="4" borderId="7" xfId="0" applyFont="1" applyFill="1" applyBorder="1" applyAlignment="1">
      <alignment horizontal="center"/>
    </xf>
    <xf numFmtId="164" fontId="39" fillId="4" borderId="6" xfId="0" applyFont="1" applyFill="1" applyBorder="1" applyAlignment="1">
      <alignment/>
    </xf>
    <xf numFmtId="170" fontId="41" fillId="15" borderId="6" xfId="0" applyNumberFormat="1" applyFont="1" applyFill="1" applyBorder="1" applyAlignment="1">
      <alignment horizontal="center" vertical="center" wrapText="1"/>
    </xf>
    <xf numFmtId="179" fontId="43" fillId="2" borderId="6" xfId="19" applyNumberFormat="1" applyFont="1" applyFill="1" applyBorder="1" applyAlignment="1" applyProtection="1">
      <alignment horizontal="center" vertical="center"/>
      <protection/>
    </xf>
    <xf numFmtId="171" fontId="43" fillId="2" borderId="6" xfId="0" applyNumberFormat="1" applyFont="1" applyFill="1" applyBorder="1" applyAlignment="1">
      <alignment horizontal="right" vertical="center"/>
    </xf>
    <xf numFmtId="172" fontId="43" fillId="2" borderId="6" xfId="19" applyNumberFormat="1" applyFont="1" applyFill="1" applyBorder="1" applyAlignment="1" applyProtection="1">
      <alignment horizontal="center" vertical="center" wrapText="1"/>
      <protection/>
    </xf>
    <xf numFmtId="169" fontId="43" fillId="13" borderId="6" xfId="19" applyNumberFormat="1" applyFont="1" applyFill="1" applyBorder="1" applyAlignment="1" applyProtection="1">
      <alignment horizontal="center"/>
      <protection/>
    </xf>
    <xf numFmtId="171" fontId="43" fillId="13" borderId="6" xfId="0" applyNumberFormat="1" applyFont="1" applyFill="1" applyBorder="1" applyAlignment="1">
      <alignment horizontal="right" vertical="center"/>
    </xf>
    <xf numFmtId="169" fontId="43" fillId="4" borderId="6" xfId="19" applyNumberFormat="1" applyFont="1" applyFill="1" applyBorder="1" applyAlignment="1" applyProtection="1">
      <alignment horizontal="center"/>
      <protection/>
    </xf>
    <xf numFmtId="171" fontId="43" fillId="4" borderId="6" xfId="0" applyNumberFormat="1" applyFont="1" applyFill="1" applyBorder="1" applyAlignment="1">
      <alignment horizontal="right" vertical="center"/>
    </xf>
    <xf numFmtId="169" fontId="42" fillId="2" borderId="6" xfId="0" applyNumberFormat="1" applyFont="1" applyFill="1" applyBorder="1" applyAlignment="1">
      <alignment horizontal="center" vertical="center" wrapText="1"/>
    </xf>
    <xf numFmtId="172" fontId="3" fillId="4" borderId="6" xfId="19" applyNumberFormat="1" applyFont="1" applyFill="1" applyBorder="1" applyAlignment="1" applyProtection="1">
      <alignment horizontal="center" vertical="center" wrapText="1"/>
      <protection/>
    </xf>
    <xf numFmtId="171" fontId="43" fillId="13" borderId="6" xfId="0" applyNumberFormat="1" applyFont="1" applyFill="1" applyBorder="1" applyAlignment="1">
      <alignment horizontal="right" vertical="center" wrapText="1"/>
    </xf>
    <xf numFmtId="169" fontId="43" fillId="13" borderId="6" xfId="19" applyFont="1" applyFill="1" applyBorder="1" applyAlignment="1" applyProtection="1">
      <alignment horizontal="center" vertical="center"/>
      <protection/>
    </xf>
    <xf numFmtId="171" fontId="43" fillId="4" borderId="6" xfId="0" applyNumberFormat="1" applyFont="1" applyFill="1" applyBorder="1" applyAlignment="1">
      <alignment horizontal="right" vertical="center" wrapText="1"/>
    </xf>
    <xf numFmtId="169" fontId="43" fillId="4" borderId="6" xfId="19" applyFont="1" applyFill="1" applyBorder="1" applyAlignment="1" applyProtection="1">
      <alignment horizontal="center" vertical="center"/>
      <protection/>
    </xf>
    <xf numFmtId="172" fontId="3" fillId="15" borderId="6" xfId="19" applyNumberFormat="1" applyFont="1" applyFill="1" applyBorder="1" applyAlignment="1" applyProtection="1">
      <alignment horizontal="center" vertical="center" wrapText="1"/>
      <protection/>
    </xf>
    <xf numFmtId="171" fontId="43" fillId="15" borderId="6" xfId="0" applyNumberFormat="1" applyFont="1" applyFill="1" applyBorder="1" applyAlignment="1">
      <alignment horizontal="right" vertical="center" wrapText="1"/>
    </xf>
    <xf numFmtId="169" fontId="43" fillId="15" borderId="6" xfId="19" applyFont="1" applyFill="1" applyBorder="1" applyAlignment="1" applyProtection="1">
      <alignment horizontal="center" vertical="center"/>
      <protection/>
    </xf>
    <xf numFmtId="172" fontId="3" fillId="10" borderId="6" xfId="19" applyNumberFormat="1" applyFont="1" applyFill="1" applyBorder="1" applyAlignment="1" applyProtection="1">
      <alignment horizontal="center" vertical="center" wrapText="1"/>
      <protection/>
    </xf>
    <xf numFmtId="171" fontId="43" fillId="10" borderId="6" xfId="0" applyNumberFormat="1" applyFont="1" applyFill="1" applyBorder="1" applyAlignment="1">
      <alignment horizontal="right" vertical="center" wrapText="1"/>
    </xf>
    <xf numFmtId="164" fontId="39" fillId="15" borderId="6" xfId="0" applyFont="1" applyFill="1" applyBorder="1" applyAlignment="1">
      <alignment vertical="center" wrapText="1"/>
    </xf>
    <xf numFmtId="170" fontId="39" fillId="15" borderId="6" xfId="17" applyNumberFormat="1" applyFont="1" applyFill="1" applyBorder="1" applyAlignment="1" applyProtection="1">
      <alignment horizontal="center" vertical="center" wrapText="1"/>
      <protection/>
    </xf>
    <xf numFmtId="170" fontId="39" fillId="15" borderId="6" xfId="0" applyNumberFormat="1" applyFont="1" applyFill="1" applyBorder="1" applyAlignment="1">
      <alignment horizontal="center" vertical="center" wrapText="1"/>
    </xf>
    <xf numFmtId="164" fontId="39" fillId="13" borderId="6" xfId="0" applyFont="1" applyFill="1" applyBorder="1" applyAlignment="1">
      <alignment horizontal="left" vertical="center" wrapText="1"/>
    </xf>
    <xf numFmtId="172" fontId="3" fillId="13" borderId="6" xfId="19" applyNumberFormat="1" applyFont="1" applyFill="1" applyBorder="1" applyAlignment="1" applyProtection="1">
      <alignment horizontal="center" vertical="center" wrapText="1"/>
      <protection/>
    </xf>
    <xf numFmtId="164" fontId="42" fillId="2" borderId="6" xfId="0" applyFont="1" applyFill="1" applyBorder="1" applyAlignment="1">
      <alignment horizontal="left" vertical="center" wrapText="1"/>
    </xf>
    <xf numFmtId="164" fontId="43" fillId="13" borderId="6" xfId="0" applyFont="1" applyFill="1" applyBorder="1" applyAlignment="1">
      <alignment horizontal="left" vertical="center" wrapText="1"/>
    </xf>
    <xf numFmtId="171" fontId="42" fillId="2" borderId="6" xfId="0" applyNumberFormat="1" applyFont="1" applyFill="1" applyBorder="1" applyAlignment="1">
      <alignment horizontal="right" vertical="center" wrapText="1"/>
    </xf>
    <xf numFmtId="171" fontId="43" fillId="13" borderId="6" xfId="0" applyNumberFormat="1" applyFont="1" applyFill="1" applyBorder="1" applyAlignment="1">
      <alignment horizontal="right" wrapText="1"/>
    </xf>
    <xf numFmtId="164" fontId="43" fillId="13" borderId="5" xfId="0" applyFont="1" applyFill="1" applyBorder="1" applyAlignment="1">
      <alignment horizontal="center"/>
    </xf>
    <xf numFmtId="164" fontId="39" fillId="4" borderId="6" xfId="0" applyFont="1" applyFill="1" applyBorder="1" applyAlignment="1">
      <alignment horizontal="left" vertical="center" wrapText="1"/>
    </xf>
    <xf numFmtId="171" fontId="43" fillId="2" borderId="6" xfId="0" applyNumberFormat="1" applyFont="1" applyFill="1" applyBorder="1" applyAlignment="1">
      <alignment horizontal="right" wrapText="1"/>
    </xf>
    <xf numFmtId="164" fontId="43" fillId="2" borderId="5" xfId="0" applyFont="1" applyFill="1" applyBorder="1" applyAlignment="1">
      <alignment horizontal="center"/>
    </xf>
    <xf numFmtId="172" fontId="43" fillId="13" borderId="6" xfId="0" applyNumberFormat="1" applyFont="1" applyFill="1" applyBorder="1" applyAlignment="1">
      <alignment horizontal="center" vertical="center" wrapText="1"/>
    </xf>
    <xf numFmtId="164" fontId="43" fillId="13" borderId="8" xfId="0" applyFont="1" applyFill="1" applyBorder="1" applyAlignment="1">
      <alignment horizontal="center" vertical="center" wrapText="1"/>
    </xf>
    <xf numFmtId="164" fontId="43" fillId="13" borderId="1" xfId="0" applyFont="1" applyFill="1" applyBorder="1" applyAlignment="1">
      <alignment horizontal="left" vertical="center" wrapText="1"/>
    </xf>
    <xf numFmtId="172" fontId="43" fillId="13" borderId="1" xfId="0" applyNumberFormat="1" applyFont="1" applyFill="1" applyBorder="1" applyAlignment="1">
      <alignment horizontal="center" vertical="center" wrapText="1"/>
    </xf>
    <xf numFmtId="165" fontId="43" fillId="13" borderId="1" xfId="0" applyNumberFormat="1" applyFont="1" applyFill="1" applyBorder="1" applyAlignment="1">
      <alignment horizontal="center" vertical="center" wrapText="1"/>
    </xf>
    <xf numFmtId="171" fontId="43" fillId="13" borderId="1" xfId="17" applyNumberFormat="1" applyFont="1" applyFill="1" applyBorder="1" applyAlignment="1" applyProtection="1">
      <alignment horizontal="right" vertical="center" wrapText="1"/>
      <protection/>
    </xf>
    <xf numFmtId="169" fontId="43" fillId="13" borderId="1" xfId="19" applyFont="1" applyFill="1" applyBorder="1" applyAlignment="1" applyProtection="1">
      <alignment horizontal="center"/>
      <protection/>
    </xf>
    <xf numFmtId="177" fontId="43" fillId="13" borderId="1" xfId="17" applyNumberFormat="1" applyFont="1" applyFill="1" applyBorder="1" applyAlignment="1" applyProtection="1">
      <alignment horizontal="right" vertical="center"/>
      <protection/>
    </xf>
    <xf numFmtId="171" fontId="43" fillId="13" borderId="1" xfId="0" applyNumberFormat="1" applyFont="1" applyFill="1" applyBorder="1" applyAlignment="1">
      <alignment horizontal="right" wrapText="1"/>
    </xf>
    <xf numFmtId="169" fontId="43" fillId="13" borderId="1" xfId="19" applyFont="1" applyFill="1" applyBorder="1" applyAlignment="1" applyProtection="1">
      <alignment horizontal="center" vertical="center" wrapText="1"/>
      <protection/>
    </xf>
    <xf numFmtId="164" fontId="43" fillId="13" borderId="9" xfId="0" applyFont="1" applyFill="1" applyBorder="1" applyAlignment="1">
      <alignment horizontal="center"/>
    </xf>
    <xf numFmtId="164" fontId="42" fillId="4" borderId="7" xfId="0" applyFont="1" applyFill="1" applyBorder="1" applyAlignment="1">
      <alignment horizontal="center" vertical="center" wrapText="1"/>
    </xf>
    <xf numFmtId="164" fontId="43" fillId="4" borderId="5" xfId="0" applyFont="1" applyFill="1" applyBorder="1" applyAlignment="1">
      <alignment horizontal="center"/>
    </xf>
    <xf numFmtId="164" fontId="42" fillId="4" borderId="8" xfId="0" applyFont="1" applyFill="1" applyBorder="1" applyAlignment="1">
      <alignment horizontal="center" vertical="center" wrapText="1"/>
    </xf>
    <xf numFmtId="165" fontId="43" fillId="4" borderId="1" xfId="0" applyNumberFormat="1" applyFont="1" applyFill="1" applyBorder="1" applyAlignment="1">
      <alignment horizontal="center" vertical="center" wrapText="1"/>
    </xf>
    <xf numFmtId="177" fontId="43" fillId="4" borderId="1" xfId="17" applyNumberFormat="1" applyFont="1" applyFill="1" applyBorder="1" applyAlignment="1" applyProtection="1">
      <alignment horizontal="right" vertical="center"/>
      <protection/>
    </xf>
    <xf numFmtId="169" fontId="43" fillId="4" borderId="1" xfId="19" applyFont="1" applyFill="1" applyBorder="1" applyAlignment="1" applyProtection="1">
      <alignment horizontal="center" vertical="center" wrapText="1"/>
      <protection/>
    </xf>
    <xf numFmtId="164" fontId="43" fillId="4" borderId="9" xfId="0" applyFont="1" applyFill="1" applyBorder="1" applyAlignment="1">
      <alignment horizontal="center"/>
    </xf>
    <xf numFmtId="164" fontId="44" fillId="4" borderId="16" xfId="0" applyFont="1" applyFill="1" applyBorder="1" applyAlignment="1">
      <alignment horizontal="center" vertical="center" wrapText="1"/>
    </xf>
    <xf numFmtId="165" fontId="44" fillId="4" borderId="17" xfId="0" applyNumberFormat="1" applyFont="1" applyFill="1" applyBorder="1" applyAlignment="1">
      <alignment horizontal="center" vertical="center" wrapText="1"/>
    </xf>
    <xf numFmtId="177" fontId="44" fillId="4" borderId="17" xfId="17" applyNumberFormat="1" applyFont="1" applyFill="1" applyBorder="1" applyAlignment="1" applyProtection="1">
      <alignment horizontal="right" vertical="center"/>
      <protection/>
    </xf>
    <xf numFmtId="172" fontId="44" fillId="4" borderId="17" xfId="19" applyNumberFormat="1" applyFont="1" applyFill="1" applyBorder="1" applyAlignment="1" applyProtection="1">
      <alignment horizontal="center" vertical="center" wrapText="1"/>
      <protection/>
    </xf>
    <xf numFmtId="164" fontId="43" fillId="4" borderId="41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165" fontId="0" fillId="0" borderId="0" xfId="0" applyNumberFormat="1" applyAlignment="1">
      <alignment/>
    </xf>
    <xf numFmtId="174" fontId="0" fillId="0" borderId="0" xfId="17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164" fontId="21" fillId="0" borderId="0" xfId="0" applyFont="1" applyAlignment="1">
      <alignment/>
    </xf>
    <xf numFmtId="164" fontId="45" fillId="0" borderId="0" xfId="0" applyFont="1" applyAlignment="1">
      <alignment/>
    </xf>
    <xf numFmtId="165" fontId="21" fillId="0" borderId="0" xfId="0" applyNumberFormat="1" applyFont="1" applyAlignment="1">
      <alignment/>
    </xf>
    <xf numFmtId="164" fontId="46" fillId="0" borderId="44" xfId="0" applyFont="1" applyBorder="1" applyAlignment="1">
      <alignment horizontal="center"/>
    </xf>
    <xf numFmtId="164" fontId="47" fillId="14" borderId="16" xfId="0" applyFont="1" applyFill="1" applyBorder="1" applyAlignment="1">
      <alignment horizontal="center" vertical="center" wrapText="1"/>
    </xf>
    <xf numFmtId="164" fontId="47" fillId="14" borderId="17" xfId="0" applyFont="1" applyFill="1" applyBorder="1" applyAlignment="1">
      <alignment horizontal="center" vertical="center" wrapText="1"/>
    </xf>
    <xf numFmtId="165" fontId="48" fillId="14" borderId="17" xfId="0" applyNumberFormat="1" applyFont="1" applyFill="1" applyBorder="1" applyAlignment="1">
      <alignment horizontal="center" vertical="center" wrapText="1"/>
    </xf>
    <xf numFmtId="164" fontId="47" fillId="14" borderId="41" xfId="0" applyFont="1" applyFill="1" applyBorder="1" applyAlignment="1">
      <alignment horizontal="center" vertical="center" wrapText="1"/>
    </xf>
    <xf numFmtId="164" fontId="49" fillId="0" borderId="42" xfId="0" applyFont="1" applyBorder="1" applyAlignment="1">
      <alignment horizontal="center" vertical="center" wrapText="1"/>
    </xf>
    <xf numFmtId="164" fontId="49" fillId="0" borderId="39" xfId="0" applyFont="1" applyBorder="1" applyAlignment="1">
      <alignment horizontal="center" vertical="center" wrapText="1"/>
    </xf>
    <xf numFmtId="164" fontId="50" fillId="4" borderId="45" xfId="0" applyFont="1" applyFill="1" applyBorder="1" applyAlignment="1">
      <alignment horizontal="center" vertical="center" wrapText="1"/>
    </xf>
    <xf numFmtId="164" fontId="50" fillId="4" borderId="28" xfId="0" applyFont="1" applyFill="1" applyBorder="1" applyAlignment="1">
      <alignment vertical="center" wrapText="1"/>
    </xf>
    <xf numFmtId="164" fontId="50" fillId="4" borderId="28" xfId="0" applyFont="1" applyFill="1" applyBorder="1" applyAlignment="1">
      <alignment horizontal="center" vertical="center" wrapText="1"/>
    </xf>
    <xf numFmtId="165" fontId="50" fillId="4" borderId="28" xfId="0" applyNumberFormat="1" applyFont="1" applyFill="1" applyBorder="1" applyAlignment="1">
      <alignment horizontal="center" vertical="center" wrapText="1"/>
    </xf>
    <xf numFmtId="169" fontId="50" fillId="4" borderId="28" xfId="19" applyFont="1" applyFill="1" applyBorder="1" applyAlignment="1" applyProtection="1">
      <alignment horizontal="center" vertical="center" wrapText="1"/>
      <protection/>
    </xf>
    <xf numFmtId="164" fontId="21" fillId="4" borderId="46" xfId="0" applyFont="1" applyFill="1" applyBorder="1" applyAlignment="1">
      <alignment horizontal="center"/>
    </xf>
    <xf numFmtId="164" fontId="21" fillId="4" borderId="7" xfId="0" applyFont="1" applyFill="1" applyBorder="1" applyAlignment="1">
      <alignment horizontal="center" vertical="center" wrapText="1"/>
    </xf>
    <xf numFmtId="164" fontId="21" fillId="4" borderId="6" xfId="0" applyFont="1" applyFill="1" applyBorder="1" applyAlignment="1">
      <alignment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5" fontId="21" fillId="4" borderId="6" xfId="0" applyNumberFormat="1" applyFont="1" applyFill="1" applyBorder="1" applyAlignment="1">
      <alignment horizontal="center" vertical="center" wrapText="1"/>
    </xf>
    <xf numFmtId="171" fontId="21" fillId="4" borderId="6" xfId="17" applyNumberFormat="1" applyFont="1" applyFill="1" applyBorder="1" applyAlignment="1" applyProtection="1">
      <alignment horizontal="right" vertical="center" wrapText="1"/>
      <protection/>
    </xf>
    <xf numFmtId="169" fontId="21" fillId="4" borderId="6" xfId="19" applyFont="1" applyFill="1" applyBorder="1" applyAlignment="1" applyProtection="1">
      <alignment horizontal="center" vertical="center" wrapText="1"/>
      <protection/>
    </xf>
    <xf numFmtId="164" fontId="21" fillId="4" borderId="5" xfId="0" applyFont="1" applyFill="1" applyBorder="1" applyAlignment="1">
      <alignment horizontal="center"/>
    </xf>
    <xf numFmtId="164" fontId="49" fillId="0" borderId="7" xfId="0" applyFont="1" applyFill="1" applyBorder="1" applyAlignment="1">
      <alignment horizontal="center" vertical="center" wrapText="1"/>
    </xf>
    <xf numFmtId="164" fontId="49" fillId="0" borderId="6" xfId="0" applyFont="1" applyFill="1" applyBorder="1" applyAlignment="1">
      <alignment vertical="center" wrapText="1"/>
    </xf>
    <xf numFmtId="169" fontId="49" fillId="0" borderId="6" xfId="0" applyNumberFormat="1" applyFont="1" applyFill="1" applyBorder="1" applyAlignment="1">
      <alignment horizontal="center" vertical="center" wrapText="1"/>
    </xf>
    <xf numFmtId="165" fontId="49" fillId="0" borderId="6" xfId="0" applyNumberFormat="1" applyFont="1" applyFill="1" applyBorder="1" applyAlignment="1">
      <alignment horizontal="center" vertical="center" wrapText="1"/>
    </xf>
    <xf numFmtId="171" fontId="49" fillId="0" borderId="6" xfId="17" applyNumberFormat="1" applyFont="1" applyFill="1" applyBorder="1" applyAlignment="1" applyProtection="1">
      <alignment horizontal="right" vertical="center" wrapText="1"/>
      <protection/>
    </xf>
    <xf numFmtId="169" fontId="49" fillId="0" borderId="6" xfId="19" applyFont="1" applyFill="1" applyBorder="1" applyAlignment="1" applyProtection="1">
      <alignment horizontal="center" vertical="center" wrapText="1"/>
      <protection/>
    </xf>
    <xf numFmtId="164" fontId="49" fillId="0" borderId="5" xfId="0" applyFont="1" applyBorder="1" applyAlignment="1">
      <alignment horizontal="center"/>
    </xf>
    <xf numFmtId="168" fontId="49" fillId="0" borderId="6" xfId="0" applyNumberFormat="1" applyFont="1" applyFill="1" applyBorder="1" applyAlignment="1">
      <alignment horizontal="right" vertical="center"/>
    </xf>
    <xf numFmtId="171" fontId="49" fillId="0" borderId="6" xfId="0" applyNumberFormat="1" applyFont="1" applyFill="1" applyBorder="1" applyAlignment="1">
      <alignment horizontal="right" vertical="center"/>
    </xf>
    <xf numFmtId="164" fontId="21" fillId="2" borderId="7" xfId="0" applyFont="1" applyFill="1" applyBorder="1" applyAlignment="1">
      <alignment horizontal="center" vertical="center" wrapText="1"/>
    </xf>
    <xf numFmtId="164" fontId="21" fillId="2" borderId="6" xfId="0" applyFont="1" applyFill="1" applyBorder="1" applyAlignment="1">
      <alignment vertical="center" wrapText="1"/>
    </xf>
    <xf numFmtId="170" fontId="21" fillId="2" borderId="6" xfId="0" applyNumberFormat="1" applyFont="1" applyFill="1" applyBorder="1" applyAlignment="1">
      <alignment horizontal="center" vertical="center"/>
    </xf>
    <xf numFmtId="171" fontId="49" fillId="0" borderId="31" xfId="17" applyNumberFormat="1" applyFont="1" applyFill="1" applyBorder="1" applyAlignment="1" applyProtection="1">
      <alignment horizontal="right" vertical="center" wrapText="1"/>
      <protection/>
    </xf>
    <xf numFmtId="171" fontId="49" fillId="0" borderId="31" xfId="0" applyNumberFormat="1" applyFont="1" applyFill="1" applyBorder="1" applyAlignment="1">
      <alignment horizontal="right" vertical="center"/>
    </xf>
    <xf numFmtId="169" fontId="49" fillId="0" borderId="31" xfId="19" applyFont="1" applyFill="1" applyBorder="1" applyAlignment="1" applyProtection="1">
      <alignment horizontal="center" vertical="center" wrapText="1"/>
      <protection/>
    </xf>
    <xf numFmtId="164" fontId="49" fillId="0" borderId="47" xfId="0" applyFont="1" applyBorder="1" applyAlignment="1">
      <alignment horizontal="center"/>
    </xf>
    <xf numFmtId="164" fontId="51" fillId="14" borderId="16" xfId="0" applyFont="1" applyFill="1" applyBorder="1" applyAlignment="1">
      <alignment horizontal="center" vertical="center" wrapText="1"/>
    </xf>
    <xf numFmtId="164" fontId="51" fillId="14" borderId="17" xfId="0" applyFont="1" applyFill="1" applyBorder="1" applyAlignment="1">
      <alignment horizontal="center" vertical="center" wrapText="1"/>
    </xf>
    <xf numFmtId="165" fontId="50" fillId="14" borderId="17" xfId="0" applyNumberFormat="1" applyFont="1" applyFill="1" applyBorder="1" applyAlignment="1">
      <alignment horizontal="center" vertical="center" wrapText="1"/>
    </xf>
    <xf numFmtId="164" fontId="51" fillId="14" borderId="41" xfId="0" applyFont="1" applyFill="1" applyBorder="1" applyAlignment="1">
      <alignment horizontal="center" vertical="center" wrapText="1"/>
    </xf>
    <xf numFmtId="164" fontId="49" fillId="4" borderId="7" xfId="0" applyFont="1" applyFill="1" applyBorder="1" applyAlignment="1">
      <alignment horizontal="center" vertical="center" wrapText="1"/>
    </xf>
    <xf numFmtId="164" fontId="49" fillId="4" borderId="6" xfId="0" applyFont="1" applyFill="1" applyBorder="1" applyAlignment="1">
      <alignment vertical="center" wrapText="1"/>
    </xf>
    <xf numFmtId="169" fontId="49" fillId="4" borderId="6" xfId="0" applyNumberFormat="1" applyFont="1" applyFill="1" applyBorder="1" applyAlignment="1">
      <alignment horizontal="center" vertical="center" wrapText="1"/>
    </xf>
    <xf numFmtId="165" fontId="49" fillId="4" borderId="6" xfId="0" applyNumberFormat="1" applyFont="1" applyFill="1" applyBorder="1" applyAlignment="1">
      <alignment horizontal="center" vertical="center" wrapText="1"/>
    </xf>
    <xf numFmtId="171" fontId="49" fillId="4" borderId="6" xfId="17" applyNumberFormat="1" applyFont="1" applyFill="1" applyBorder="1" applyAlignment="1" applyProtection="1">
      <alignment horizontal="right" vertical="center" wrapText="1"/>
      <protection/>
    </xf>
    <xf numFmtId="169" fontId="49" fillId="4" borderId="6" xfId="19" applyFont="1" applyFill="1" applyBorder="1" applyAlignment="1" applyProtection="1">
      <alignment horizontal="center" vertical="center" wrapText="1"/>
      <protection/>
    </xf>
    <xf numFmtId="171" fontId="49" fillId="4" borderId="6" xfId="17" applyNumberFormat="1" applyFont="1" applyFill="1" applyBorder="1" applyAlignment="1" applyProtection="1">
      <alignment vertical="center" wrapText="1"/>
      <protection/>
    </xf>
    <xf numFmtId="164" fontId="49" fillId="4" borderId="5" xfId="0" applyFont="1" applyFill="1" applyBorder="1" applyAlignment="1">
      <alignment horizontal="center"/>
    </xf>
    <xf numFmtId="171" fontId="49" fillId="0" borderId="6" xfId="17" applyNumberFormat="1" applyFont="1" applyFill="1" applyBorder="1" applyAlignment="1" applyProtection="1">
      <alignment vertical="center" wrapText="1"/>
      <protection/>
    </xf>
    <xf numFmtId="164" fontId="49" fillId="2" borderId="7" xfId="0" applyFont="1" applyFill="1" applyBorder="1" applyAlignment="1">
      <alignment horizontal="center" vertical="center" wrapText="1"/>
    </xf>
    <xf numFmtId="164" fontId="49" fillId="2" borderId="6" xfId="0" applyFont="1" applyFill="1" applyBorder="1" applyAlignment="1">
      <alignment vertical="center" wrapText="1"/>
    </xf>
    <xf numFmtId="169" fontId="49" fillId="2" borderId="6" xfId="0" applyNumberFormat="1" applyFont="1" applyFill="1" applyBorder="1" applyAlignment="1">
      <alignment horizontal="center" vertical="center" wrapText="1"/>
    </xf>
    <xf numFmtId="165" fontId="49" fillId="2" borderId="6" xfId="0" applyNumberFormat="1" applyFont="1" applyFill="1" applyBorder="1" applyAlignment="1">
      <alignment horizontal="center" vertical="center" wrapText="1"/>
    </xf>
    <xf numFmtId="171" fontId="49" fillId="2" borderId="6" xfId="17" applyNumberFormat="1" applyFont="1" applyFill="1" applyBorder="1" applyAlignment="1" applyProtection="1">
      <alignment horizontal="right" vertical="center" wrapText="1"/>
      <protection/>
    </xf>
    <xf numFmtId="169" fontId="49" fillId="2" borderId="6" xfId="19" applyFont="1" applyFill="1" applyBorder="1" applyAlignment="1" applyProtection="1">
      <alignment horizontal="center" vertical="center" wrapText="1"/>
      <protection/>
    </xf>
    <xf numFmtId="171" fontId="49" fillId="2" borderId="6" xfId="17" applyNumberFormat="1" applyFont="1" applyFill="1" applyBorder="1" applyAlignment="1" applyProtection="1">
      <alignment vertical="center" wrapText="1"/>
      <protection/>
    </xf>
    <xf numFmtId="164" fontId="49" fillId="2" borderId="5" xfId="0" applyFont="1" applyFill="1" applyBorder="1" applyAlignment="1">
      <alignment horizontal="center"/>
    </xf>
    <xf numFmtId="164" fontId="49" fillId="4" borderId="8" xfId="0" applyFont="1" applyFill="1" applyBorder="1" applyAlignment="1">
      <alignment horizontal="center" vertical="center" wrapText="1"/>
    </xf>
    <xf numFmtId="164" fontId="49" fillId="4" borderId="1" xfId="0" applyFont="1" applyFill="1" applyBorder="1" applyAlignment="1">
      <alignment vertical="center" wrapText="1"/>
    </xf>
    <xf numFmtId="169" fontId="49" fillId="4" borderId="1" xfId="0" applyNumberFormat="1" applyFont="1" applyFill="1" applyBorder="1" applyAlignment="1">
      <alignment horizontal="center" vertical="center" wrapText="1"/>
    </xf>
    <xf numFmtId="165" fontId="49" fillId="4" borderId="1" xfId="0" applyNumberFormat="1" applyFont="1" applyFill="1" applyBorder="1" applyAlignment="1">
      <alignment horizontal="center" vertical="center" wrapText="1"/>
    </xf>
    <xf numFmtId="169" fontId="49" fillId="4" borderId="1" xfId="19" applyFont="1" applyFill="1" applyBorder="1" applyAlignment="1" applyProtection="1">
      <alignment horizontal="center" vertical="center" wrapText="1"/>
      <protection/>
    </xf>
    <xf numFmtId="171" fontId="49" fillId="4" borderId="1" xfId="17" applyNumberFormat="1" applyFont="1" applyFill="1" applyBorder="1" applyAlignment="1" applyProtection="1">
      <alignment horizontal="right" vertical="center" wrapText="1"/>
      <protection/>
    </xf>
    <xf numFmtId="171" fontId="49" fillId="4" borderId="1" xfId="17" applyNumberFormat="1" applyFont="1" applyFill="1" applyBorder="1" applyAlignment="1" applyProtection="1">
      <alignment vertical="center" wrapText="1"/>
      <protection/>
    </xf>
    <xf numFmtId="164" fontId="49" fillId="4" borderId="9" xfId="0" applyFont="1" applyFill="1" applyBorder="1" applyAlignment="1">
      <alignment horizontal="center"/>
    </xf>
    <xf numFmtId="164" fontId="16" fillId="0" borderId="16" xfId="0" applyFont="1" applyBorder="1" applyAlignment="1">
      <alignment/>
    </xf>
    <xf numFmtId="164" fontId="16" fillId="0" borderId="17" xfId="0" applyFont="1" applyBorder="1" applyAlignment="1">
      <alignment/>
    </xf>
    <xf numFmtId="170" fontId="16" fillId="0" borderId="17" xfId="0" applyNumberFormat="1" applyFont="1" applyBorder="1" applyAlignment="1">
      <alignment/>
    </xf>
    <xf numFmtId="169" fontId="16" fillId="0" borderId="17" xfId="19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52" fillId="0" borderId="48" xfId="0" applyFont="1" applyFill="1" applyBorder="1" applyAlignment="1">
      <alignment horizontal="center"/>
    </xf>
    <xf numFmtId="164" fontId="52" fillId="0" borderId="0" xfId="0" applyFont="1" applyFill="1" applyAlignment="1">
      <alignment/>
    </xf>
    <xf numFmtId="164" fontId="54" fillId="0" borderId="48" xfId="0" applyFont="1" applyFill="1" applyBorder="1" applyAlignment="1">
      <alignment horizontal="center" vertical="center" wrapText="1"/>
    </xf>
    <xf numFmtId="164" fontId="54" fillId="0" borderId="48" xfId="0" applyFont="1" applyFill="1" applyBorder="1" applyAlignment="1">
      <alignment vertical="center" wrapText="1"/>
    </xf>
    <xf numFmtId="164" fontId="20" fillId="0" borderId="0" xfId="0" applyFont="1" applyFill="1" applyAlignment="1">
      <alignment/>
    </xf>
    <xf numFmtId="164" fontId="20" fillId="0" borderId="48" xfId="0" applyFont="1" applyFill="1" applyBorder="1" applyAlignment="1">
      <alignment horizontal="center" vertical="center" wrapText="1"/>
    </xf>
    <xf numFmtId="164" fontId="20" fillId="0" borderId="48" xfId="0" applyFont="1" applyFill="1" applyBorder="1" applyAlignment="1">
      <alignment vertical="center" wrapText="1"/>
    </xf>
    <xf numFmtId="178" fontId="20" fillId="0" borderId="48" xfId="0" applyNumberFormat="1" applyFont="1" applyFill="1" applyBorder="1" applyAlignment="1">
      <alignment horizontal="center" vertical="center" wrapText="1"/>
    </xf>
    <xf numFmtId="164" fontId="55" fillId="0" borderId="6" xfId="0" applyFont="1" applyFill="1" applyBorder="1" applyAlignment="1">
      <alignment horizontal="justify" vertical="center" wrapText="1"/>
    </xf>
    <xf numFmtId="164" fontId="20" fillId="0" borderId="48" xfId="0" applyFont="1" applyFill="1" applyBorder="1" applyAlignment="1">
      <alignment/>
    </xf>
    <xf numFmtId="164" fontId="20" fillId="0" borderId="48" xfId="0" applyFont="1" applyFill="1" applyBorder="1" applyAlignment="1">
      <alignment horizontal="left" vertical="center" wrapText="1"/>
    </xf>
    <xf numFmtId="164" fontId="52" fillId="0" borderId="48" xfId="0" applyFont="1" applyFill="1" applyBorder="1" applyAlignment="1">
      <alignment horizontal="right" vertical="center" wrapText="1"/>
    </xf>
    <xf numFmtId="178" fontId="56" fillId="0" borderId="48" xfId="0" applyNumberFormat="1" applyFont="1" applyFill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Fill="1" applyAlignment="1">
      <alignment horizontal="center"/>
    </xf>
    <xf numFmtId="164" fontId="57" fillId="0" borderId="48" xfId="0" applyFont="1" applyFill="1" applyBorder="1" applyAlignment="1">
      <alignment horizontal="justify" vertical="center" wrapText="1"/>
    </xf>
    <xf numFmtId="164" fontId="57" fillId="0" borderId="48" xfId="0" applyFont="1" applyFill="1" applyBorder="1" applyAlignment="1">
      <alignment horizontal="center" vertical="center" wrapText="1"/>
    </xf>
    <xf numFmtId="178" fontId="57" fillId="0" borderId="48" xfId="0" applyNumberFormat="1" applyFont="1" applyFill="1" applyBorder="1" applyAlignment="1">
      <alignment horizontal="center" vertical="center" wrapText="1"/>
    </xf>
    <xf numFmtId="180" fontId="20" fillId="0" borderId="48" xfId="0" applyNumberFormat="1" applyFont="1" applyFill="1" applyBorder="1" applyAlignment="1">
      <alignment horizontal="center" vertical="center" wrapText="1"/>
    </xf>
    <xf numFmtId="164" fontId="55" fillId="0" borderId="48" xfId="0" applyFont="1" applyFill="1" applyBorder="1" applyAlignment="1">
      <alignment horizontal="justify" vertical="center" wrapText="1"/>
    </xf>
    <xf numFmtId="164" fontId="55" fillId="0" borderId="48" xfId="0" applyFont="1" applyFill="1" applyBorder="1" applyAlignment="1">
      <alignment horizontal="center" vertical="center" wrapText="1"/>
    </xf>
    <xf numFmtId="178" fontId="55" fillId="0" borderId="48" xfId="0" applyNumberFormat="1" applyFont="1" applyFill="1" applyBorder="1" applyAlignment="1">
      <alignment horizontal="center" vertical="center" wrapText="1"/>
    </xf>
    <xf numFmtId="164" fontId="20" fillId="0" borderId="48" xfId="0" applyFont="1" applyFill="1" applyBorder="1" applyAlignment="1">
      <alignment horizontal="center"/>
    </xf>
    <xf numFmtId="164" fontId="20" fillId="0" borderId="48" xfId="0" applyFont="1" applyFill="1" applyBorder="1" applyAlignment="1">
      <alignment horizontal="center" vertical="center"/>
    </xf>
    <xf numFmtId="181" fontId="55" fillId="0" borderId="48" xfId="0" applyNumberFormat="1" applyFont="1" applyFill="1" applyBorder="1" applyAlignment="1">
      <alignment horizontal="center" vertical="center" wrapText="1"/>
    </xf>
    <xf numFmtId="164" fontId="53" fillId="0" borderId="0" xfId="0" applyFont="1" applyFill="1" applyAlignment="1">
      <alignment horizontal="center"/>
    </xf>
    <xf numFmtId="164" fontId="53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 wrapText="1"/>
    </xf>
    <xf numFmtId="164" fontId="55" fillId="0" borderId="0" xfId="0" applyFont="1" applyFill="1" applyAlignment="1">
      <alignment horizontal="justify" vertical="center" wrapText="1"/>
    </xf>
    <xf numFmtId="168" fontId="55" fillId="0" borderId="0" xfId="0" applyNumberFormat="1" applyFont="1" applyFill="1" applyAlignment="1">
      <alignment/>
    </xf>
    <xf numFmtId="164" fontId="55" fillId="0" borderId="0" xfId="0" applyFont="1" applyFill="1" applyAlignment="1">
      <alignment/>
    </xf>
    <xf numFmtId="164" fontId="58" fillId="0" borderId="0" xfId="0" applyFont="1" applyFill="1" applyAlignment="1">
      <alignment/>
    </xf>
    <xf numFmtId="164" fontId="56" fillId="0" borderId="48" xfId="0" applyFont="1" applyFill="1" applyBorder="1" applyAlignment="1">
      <alignment horizontal="center"/>
    </xf>
    <xf numFmtId="164" fontId="56" fillId="0" borderId="0" xfId="0" applyFont="1" applyFill="1" applyAlignment="1">
      <alignment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15" xfId="0" applyFont="1" applyFill="1" applyBorder="1" applyAlignment="1">
      <alignment horizontal="justify" vertical="center" wrapText="1"/>
    </xf>
    <xf numFmtId="178" fontId="57" fillId="0" borderId="6" xfId="0" applyNumberFormat="1" applyFont="1" applyFill="1" applyBorder="1" applyAlignment="1">
      <alignment horizontal="center" vertical="center" wrapText="1"/>
    </xf>
    <xf numFmtId="164" fontId="22" fillId="0" borderId="48" xfId="0" applyFont="1" applyFill="1" applyBorder="1" applyAlignment="1">
      <alignment horizontal="center" vertical="center" wrapText="1"/>
    </xf>
    <xf numFmtId="164" fontId="55" fillId="0" borderId="6" xfId="0" applyFont="1" applyFill="1" applyBorder="1" applyAlignment="1">
      <alignment horizontal="center" vertical="center" wrapText="1"/>
    </xf>
    <xf numFmtId="180" fontId="55" fillId="0" borderId="6" xfId="0" applyNumberFormat="1" applyFont="1" applyFill="1" applyBorder="1" applyAlignment="1">
      <alignment horizontal="center" vertical="center" wrapText="1"/>
    </xf>
    <xf numFmtId="164" fontId="57" fillId="0" borderId="48" xfId="0" applyFont="1" applyFill="1" applyBorder="1" applyAlignment="1">
      <alignment horizontal="center" vertical="center" textRotation="90"/>
    </xf>
    <xf numFmtId="180" fontId="55" fillId="0" borderId="48" xfId="0" applyNumberFormat="1" applyFont="1" applyFill="1" applyBorder="1" applyAlignment="1">
      <alignment horizontal="center" vertical="center" wrapText="1"/>
    </xf>
    <xf numFmtId="164" fontId="60" fillId="0" borderId="6" xfId="0" applyFont="1" applyFill="1" applyBorder="1" applyAlignment="1">
      <alignment horizontal="justify" vertical="center" wrapText="1"/>
    </xf>
    <xf numFmtId="164" fontId="60" fillId="0" borderId="0" xfId="0" applyFont="1" applyFill="1" applyAlignment="1">
      <alignment/>
    </xf>
    <xf numFmtId="164" fontId="61" fillId="0" borderId="0" xfId="0" applyFont="1" applyFill="1" applyAlignment="1">
      <alignment/>
    </xf>
    <xf numFmtId="164" fontId="55" fillId="0" borderId="48" xfId="0" applyNumberFormat="1" applyFont="1" applyFill="1" applyBorder="1" applyAlignment="1">
      <alignment horizontal="center" vertical="center" wrapText="1"/>
    </xf>
    <xf numFmtId="164" fontId="54" fillId="0" borderId="48" xfId="0" applyFont="1" applyFill="1" applyBorder="1" applyAlignment="1">
      <alignment horizontal="center" vertical="center" textRotation="90" wrapText="1"/>
    </xf>
    <xf numFmtId="164" fontId="57" fillId="0" borderId="48" xfId="0" applyFont="1" applyFill="1" applyBorder="1" applyAlignment="1">
      <alignment horizontal="center" vertical="center" textRotation="90" wrapText="1"/>
    </xf>
    <xf numFmtId="164" fontId="56" fillId="0" borderId="0" xfId="0" applyFont="1" applyFill="1" applyAlignment="1">
      <alignment horizontal="center" vertical="center" wrapText="1"/>
    </xf>
    <xf numFmtId="164" fontId="56" fillId="0" borderId="0" xfId="0" applyFont="1" applyFill="1" applyAlignment="1">
      <alignment horizontal="justify" vertical="center" wrapText="1"/>
    </xf>
    <xf numFmtId="164" fontId="56" fillId="0" borderId="48" xfId="0" applyFont="1" applyFill="1" applyBorder="1" applyAlignment="1">
      <alignment horizontal="right" vertical="center" wrapText="1"/>
    </xf>
    <xf numFmtId="181" fontId="56" fillId="0" borderId="48" xfId="0" applyNumberFormat="1" applyFont="1" applyFill="1" applyBorder="1" applyAlignment="1">
      <alignment horizontal="center" vertical="center" wrapText="1"/>
    </xf>
    <xf numFmtId="164" fontId="47" fillId="0" borderId="0" xfId="0" applyFont="1" applyFill="1" applyAlignment="1">
      <alignment/>
    </xf>
    <xf numFmtId="164" fontId="4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POLJA~1\AppData\Local\Temp\Work\SEEN%20HOLDING\INSTAL\Piony\PT\Budowy\2015\Lubart&#243;w\Moje\Protoko&#322;y\Kwiecie&#324;%202016\HRF13_04_K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 nr 1 "/>
      <sheetName val="Załacznik nr 2"/>
      <sheetName val=" HRF na 03-2016"/>
      <sheetName val="Protokół za 03-2016"/>
    </sheetNames>
    <sheetDataSet>
      <sheetData sheetId="0">
        <row r="5">
          <cell r="D5">
            <v>1101800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2"/>
  <sheetViews>
    <sheetView zoomScale="70" zoomScaleNormal="70" zoomScaleSheetLayoutView="85" workbookViewId="0" topLeftCell="A1">
      <pane ySplit="7" topLeftCell="A11" activePane="bottomLeft" state="frozen"/>
      <selection pane="topLeft" activeCell="A1" sqref="A1"/>
      <selection pane="bottomLeft" activeCell="J49" sqref="J49"/>
    </sheetView>
  </sheetViews>
  <sheetFormatPr defaultColWidth="9.140625" defaultRowHeight="15"/>
  <cols>
    <col min="1" max="1" width="8.8515625" style="1" customWidth="1"/>
    <col min="2" max="2" width="31.8515625" style="1" customWidth="1"/>
    <col min="3" max="3" width="11.28125" style="1" customWidth="1"/>
    <col min="4" max="4" width="20.00390625" style="1" customWidth="1"/>
    <col min="5" max="5" width="9.8515625" style="1" customWidth="1"/>
    <col min="6" max="6" width="9.7109375" style="1" customWidth="1"/>
    <col min="7" max="7" width="10.28125" style="1" customWidth="1"/>
    <col min="8" max="8" width="10.140625" style="1" customWidth="1"/>
    <col min="9" max="9" width="8.8515625" style="1" customWidth="1"/>
    <col min="10" max="10" width="10.00390625" style="1" customWidth="1"/>
    <col min="11" max="11" width="9.57421875" style="1" customWidth="1"/>
    <col min="12" max="12" width="10.28125" style="1" customWidth="1"/>
    <col min="13" max="13" width="10.00390625" style="1" customWidth="1"/>
    <col min="14" max="14" width="16.7109375" style="1" customWidth="1"/>
    <col min="15" max="15" width="15.28125" style="1" customWidth="1"/>
    <col min="16" max="16" width="19.28125" style="1" customWidth="1"/>
    <col min="17" max="17" width="16.00390625" style="1" customWidth="1"/>
    <col min="18" max="18" width="16.28125" style="1" customWidth="1"/>
    <col min="19" max="19" width="15.7109375" style="1" customWidth="1"/>
    <col min="20" max="20" width="14.7109375" style="1" customWidth="1"/>
    <col min="21" max="21" width="10.7109375" style="1" customWidth="1"/>
    <col min="22" max="22" width="9.421875" style="1" customWidth="1"/>
    <col min="23" max="26" width="8.8515625" style="1" customWidth="1"/>
    <col min="27" max="27" width="13.28125" style="1" customWidth="1"/>
    <col min="28" max="28" width="19.57421875" style="1" customWidth="1"/>
    <col min="29" max="29" width="8.8515625" style="1" customWidth="1"/>
    <col min="30" max="30" width="10.421875" style="1" customWidth="1"/>
    <col min="31" max="31" width="14.8515625" style="1" customWidth="1"/>
    <col min="32" max="16384" width="8.8515625" style="1" customWidth="1"/>
  </cols>
  <sheetData>
    <row r="1" spans="1:26" ht="47.2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4"/>
      <c r="B3" s="5"/>
      <c r="C3" s="4"/>
      <c r="D3" s="4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>
        <v>17</v>
      </c>
      <c r="V3" s="6">
        <v>18</v>
      </c>
      <c r="W3" s="6">
        <v>19</v>
      </c>
      <c r="X3" s="6">
        <v>20</v>
      </c>
      <c r="Y3" s="6">
        <v>21</v>
      </c>
      <c r="Z3" s="6">
        <v>22</v>
      </c>
    </row>
    <row r="4" spans="1:26" ht="15" customHeight="1">
      <c r="A4" s="7" t="s">
        <v>2</v>
      </c>
      <c r="B4" s="8" t="s">
        <v>3</v>
      </c>
      <c r="C4" s="9" t="s">
        <v>4</v>
      </c>
      <c r="D4" s="10" t="s">
        <v>5</v>
      </c>
      <c r="E4" s="11">
        <v>2015</v>
      </c>
      <c r="F4" s="11"/>
      <c r="G4" s="11"/>
      <c r="H4" s="11"/>
      <c r="I4" s="11"/>
      <c r="J4" s="11"/>
      <c r="K4" s="11"/>
      <c r="L4" s="11">
        <v>2016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>
        <v>2017</v>
      </c>
      <c r="Y4" s="11"/>
      <c r="Z4" s="11"/>
    </row>
    <row r="5" spans="1:26" ht="15">
      <c r="A5" s="7"/>
      <c r="B5" s="8"/>
      <c r="C5" s="9"/>
      <c r="D5" s="12">
        <f>48400500/1.23</f>
        <v>39350000</v>
      </c>
      <c r="E5" s="13">
        <v>42185</v>
      </c>
      <c r="F5" s="13">
        <v>42186</v>
      </c>
      <c r="G5" s="13">
        <v>42217</v>
      </c>
      <c r="H5" s="13">
        <v>42248</v>
      </c>
      <c r="I5" s="13">
        <v>42278</v>
      </c>
      <c r="J5" s="13">
        <v>42309</v>
      </c>
      <c r="K5" s="14">
        <v>42339</v>
      </c>
      <c r="L5" s="15">
        <v>42370</v>
      </c>
      <c r="M5" s="13">
        <v>42401</v>
      </c>
      <c r="N5" s="13">
        <v>42430</v>
      </c>
      <c r="O5" s="13">
        <v>42461</v>
      </c>
      <c r="P5" s="13">
        <v>42491</v>
      </c>
      <c r="Q5" s="13">
        <v>42522</v>
      </c>
      <c r="R5" s="13">
        <v>42552</v>
      </c>
      <c r="S5" s="13">
        <v>42583</v>
      </c>
      <c r="T5" s="13">
        <v>42614</v>
      </c>
      <c r="U5" s="13">
        <v>42644</v>
      </c>
      <c r="V5" s="13">
        <v>42675</v>
      </c>
      <c r="W5" s="14">
        <v>42705</v>
      </c>
      <c r="X5" s="15">
        <v>42736</v>
      </c>
      <c r="Y5" s="13">
        <v>42767</v>
      </c>
      <c r="Z5" s="14">
        <v>42795</v>
      </c>
    </row>
    <row r="6" spans="1:26" ht="16.5">
      <c r="A6" s="16"/>
      <c r="B6" s="17"/>
      <c r="C6" s="16"/>
      <c r="D6" s="18"/>
      <c r="E6" s="19">
        <v>6</v>
      </c>
      <c r="F6" s="6">
        <f>E6+1</f>
        <v>7</v>
      </c>
      <c r="G6" s="6">
        <f>F6+1</f>
        <v>8</v>
      </c>
      <c r="H6" s="6">
        <f>G6+1</f>
        <v>9</v>
      </c>
      <c r="I6" s="6">
        <f>H6+1</f>
        <v>10</v>
      </c>
      <c r="J6" s="6">
        <f>I6+1</f>
        <v>11</v>
      </c>
      <c r="K6" s="20">
        <f>J6+1</f>
        <v>12</v>
      </c>
      <c r="L6" s="19">
        <v>1</v>
      </c>
      <c r="M6" s="6">
        <f>L6+1</f>
        <v>2</v>
      </c>
      <c r="N6" s="6">
        <f>M6+1</f>
        <v>3</v>
      </c>
      <c r="O6" s="6">
        <v>4</v>
      </c>
      <c r="P6" s="6">
        <f>O6+1</f>
        <v>5</v>
      </c>
      <c r="Q6" s="6">
        <f>P6+1</f>
        <v>6</v>
      </c>
      <c r="R6" s="6">
        <f>Q6+1</f>
        <v>7</v>
      </c>
      <c r="S6" s="6">
        <f>R6+1</f>
        <v>8</v>
      </c>
      <c r="T6" s="6">
        <f>S6+1</f>
        <v>9</v>
      </c>
      <c r="U6" s="6">
        <f>T6+1</f>
        <v>10</v>
      </c>
      <c r="V6" s="6">
        <f>U6+1</f>
        <v>11</v>
      </c>
      <c r="W6" s="20">
        <f>V6+1</f>
        <v>12</v>
      </c>
      <c r="X6" s="19">
        <v>1</v>
      </c>
      <c r="Y6" s="6">
        <f>X6+1</f>
        <v>2</v>
      </c>
      <c r="Z6" s="20">
        <f>Y6+1</f>
        <v>3</v>
      </c>
    </row>
    <row r="7" spans="1:28" ht="33">
      <c r="A7" s="21" t="s">
        <v>6</v>
      </c>
      <c r="B7" s="22" t="s">
        <v>7</v>
      </c>
      <c r="C7" s="23" t="s">
        <v>8</v>
      </c>
      <c r="D7" s="24">
        <v>1101800</v>
      </c>
      <c r="E7" s="25">
        <f>SUM(E8:E48)</f>
        <v>0</v>
      </c>
      <c r="F7" s="25">
        <f>SUM(F8:F48)</f>
        <v>0</v>
      </c>
      <c r="G7" s="25">
        <f>SUM(G8:G48)</f>
        <v>0</v>
      </c>
      <c r="H7" s="25">
        <f>SUM(H8:H48)</f>
        <v>173533.5</v>
      </c>
      <c r="I7" s="25">
        <f>SUM(I8:I48)</f>
        <v>0</v>
      </c>
      <c r="J7" s="25">
        <f>SUM(J8:J48)</f>
        <v>151497.5</v>
      </c>
      <c r="K7" s="25">
        <f>SUM(K8:K48)</f>
        <v>322276.5</v>
      </c>
      <c r="L7" s="25">
        <f>SUM(L8:L48)</f>
        <v>0</v>
      </c>
      <c r="M7" s="25">
        <f>SUM(M8:M48)</f>
        <v>0</v>
      </c>
      <c r="N7" s="25">
        <f>SUM(N8:N48)</f>
        <v>0</v>
      </c>
      <c r="O7" s="25">
        <f>SUM(O8:O48)</f>
        <v>234132.5</v>
      </c>
      <c r="P7" s="25">
        <f>SUM(P8:P48)</f>
        <v>0</v>
      </c>
      <c r="Q7" s="25">
        <f>SUM(Q8:Q48)</f>
        <v>0</v>
      </c>
      <c r="R7" s="25">
        <f>SUM(R8:R48)</f>
        <v>44072</v>
      </c>
      <c r="S7" s="25">
        <f>SUM(S8:S48)</f>
        <v>33018</v>
      </c>
      <c r="T7" s="25">
        <f>SUM(T8:T48)</f>
        <v>0</v>
      </c>
      <c r="U7" s="25">
        <f>SUM(U8:U48)</f>
        <v>143270</v>
      </c>
      <c r="V7" s="25">
        <f>SUM(V8:V48)</f>
        <v>0</v>
      </c>
      <c r="W7" s="25">
        <f>SUM(W8:W48)</f>
        <v>0</v>
      </c>
      <c r="X7" s="25">
        <f>SUM(X8:X48)</f>
        <v>0</v>
      </c>
      <c r="Y7" s="25">
        <f>SUM(Y8:Y48)</f>
        <v>0</v>
      </c>
      <c r="Z7" s="25">
        <f>SUM(Z8:Z48)</f>
        <v>0</v>
      </c>
      <c r="AA7" s="26"/>
      <c r="AB7" s="27"/>
    </row>
    <row r="8" spans="1:256" ht="33">
      <c r="A8" s="28">
        <v>1</v>
      </c>
      <c r="B8" s="29" t="s">
        <v>9</v>
      </c>
      <c r="C8" s="30">
        <v>0.35</v>
      </c>
      <c r="D8" s="31">
        <v>385630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26"/>
      <c r="AB8" s="27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8" ht="24" customHeight="1">
      <c r="A9" s="35" t="s">
        <v>10</v>
      </c>
      <c r="B9" s="36" t="s">
        <v>11</v>
      </c>
      <c r="C9" s="37">
        <v>0.25</v>
      </c>
      <c r="D9" s="38">
        <v>96407.5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  <c r="AA9" s="26"/>
      <c r="AB9" s="27"/>
    </row>
    <row r="10" spans="1:28" ht="16.5">
      <c r="A10" s="41" t="s">
        <v>12</v>
      </c>
      <c r="B10" s="42" t="s">
        <v>13</v>
      </c>
      <c r="C10" s="43"/>
      <c r="D10" s="44">
        <v>48203.75</v>
      </c>
      <c r="E10" s="45"/>
      <c r="F10" s="45"/>
      <c r="G10" s="45"/>
      <c r="H10" s="46">
        <v>48203.75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7"/>
      <c r="AA10" s="26"/>
      <c r="AB10" s="27"/>
    </row>
    <row r="11" spans="1:28" ht="16.5">
      <c r="A11" s="41" t="s">
        <v>14</v>
      </c>
      <c r="B11" s="42" t="s">
        <v>15</v>
      </c>
      <c r="C11" s="43"/>
      <c r="D11" s="44">
        <v>28922.25</v>
      </c>
      <c r="E11" s="45"/>
      <c r="F11" s="45"/>
      <c r="G11" s="45"/>
      <c r="H11" s="46">
        <v>28922.25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7"/>
      <c r="AA11" s="26"/>
      <c r="AB11" s="27"/>
    </row>
    <row r="12" spans="1:28" ht="16.5">
      <c r="A12" s="41" t="s">
        <v>16</v>
      </c>
      <c r="B12" s="42" t="s">
        <v>17</v>
      </c>
      <c r="C12" s="43"/>
      <c r="D12" s="44">
        <v>14461.12</v>
      </c>
      <c r="E12" s="45"/>
      <c r="F12" s="45"/>
      <c r="G12" s="45"/>
      <c r="H12" s="46">
        <v>14461.12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7"/>
      <c r="AA12" s="26"/>
      <c r="AB12" s="27"/>
    </row>
    <row r="13" spans="1:28" ht="16.5">
      <c r="A13" s="41" t="s">
        <v>18</v>
      </c>
      <c r="B13" s="42" t="s">
        <v>19</v>
      </c>
      <c r="C13" s="43"/>
      <c r="D13" s="44">
        <v>4820.38</v>
      </c>
      <c r="E13" s="45"/>
      <c r="F13" s="45"/>
      <c r="G13" s="45"/>
      <c r="H13" s="46">
        <v>4820.38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7"/>
      <c r="AA13" s="26"/>
      <c r="AB13" s="27"/>
    </row>
    <row r="14" spans="1:28" ht="16.5">
      <c r="A14" s="35" t="s">
        <v>20</v>
      </c>
      <c r="B14" s="36" t="s">
        <v>21</v>
      </c>
      <c r="C14" s="37">
        <v>0.75</v>
      </c>
      <c r="D14" s="38">
        <v>289222.5</v>
      </c>
      <c r="E14" s="39"/>
      <c r="F14" s="39"/>
      <c r="G14" s="39"/>
      <c r="H14" s="39"/>
      <c r="I14" s="39"/>
      <c r="J14" s="4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  <c r="AA14" s="26"/>
      <c r="AB14" s="27"/>
    </row>
    <row r="15" spans="1:28" ht="16.5">
      <c r="A15" s="41" t="s">
        <v>22</v>
      </c>
      <c r="B15" s="42" t="s">
        <v>23</v>
      </c>
      <c r="C15" s="43"/>
      <c r="D15" s="49">
        <v>35000</v>
      </c>
      <c r="E15" s="45"/>
      <c r="F15" s="45"/>
      <c r="G15" s="45"/>
      <c r="H15" s="45"/>
      <c r="I15" s="45"/>
      <c r="J15" s="50"/>
      <c r="K15" s="51">
        <v>35000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7"/>
      <c r="AA15" s="26"/>
      <c r="AB15" s="27"/>
    </row>
    <row r="16" spans="1:28" ht="16.5">
      <c r="A16" s="41" t="s">
        <v>24</v>
      </c>
      <c r="B16" s="42" t="s">
        <v>25</v>
      </c>
      <c r="C16" s="43"/>
      <c r="D16" s="49">
        <v>15000</v>
      </c>
      <c r="E16" s="45"/>
      <c r="F16" s="45"/>
      <c r="G16" s="45"/>
      <c r="H16" s="45"/>
      <c r="I16" s="45"/>
      <c r="J16" s="50"/>
      <c r="K16" s="51">
        <v>15000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7"/>
      <c r="AA16" s="26"/>
      <c r="AB16" s="27"/>
    </row>
    <row r="17" spans="1:28" ht="16.5">
      <c r="A17" s="41" t="s">
        <v>26</v>
      </c>
      <c r="B17" s="42" t="s">
        <v>27</v>
      </c>
      <c r="C17" s="43"/>
      <c r="D17" s="49">
        <v>7000</v>
      </c>
      <c r="E17" s="45"/>
      <c r="F17" s="45"/>
      <c r="G17" s="45"/>
      <c r="H17" s="45"/>
      <c r="I17" s="45"/>
      <c r="J17" s="50"/>
      <c r="K17" s="51">
        <v>7000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7"/>
      <c r="AA17" s="26"/>
      <c r="AB17" s="27"/>
    </row>
    <row r="18" spans="1:28" ht="16.5">
      <c r="A18" s="41" t="s">
        <v>28</v>
      </c>
      <c r="B18" s="42" t="s">
        <v>29</v>
      </c>
      <c r="C18" s="43"/>
      <c r="D18" s="49">
        <v>8000</v>
      </c>
      <c r="E18" s="45"/>
      <c r="F18" s="45"/>
      <c r="G18" s="45"/>
      <c r="H18" s="45"/>
      <c r="I18" s="45"/>
      <c r="J18" s="50"/>
      <c r="K18" s="51">
        <v>8000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7"/>
      <c r="AA18" s="26"/>
      <c r="AB18" s="27"/>
    </row>
    <row r="19" spans="1:28" ht="16.5">
      <c r="A19" s="41" t="s">
        <v>30</v>
      </c>
      <c r="B19" s="42" t="s">
        <v>31</v>
      </c>
      <c r="C19" s="43"/>
      <c r="D19" s="49">
        <v>12000</v>
      </c>
      <c r="E19" s="45"/>
      <c r="F19" s="45"/>
      <c r="G19" s="45"/>
      <c r="H19" s="45"/>
      <c r="I19" s="45"/>
      <c r="J19" s="50"/>
      <c r="K19" s="51">
        <v>12000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7"/>
      <c r="AA19" s="26"/>
      <c r="AB19" s="27"/>
    </row>
    <row r="20" spans="1:28" ht="33">
      <c r="A20" s="41" t="s">
        <v>32</v>
      </c>
      <c r="B20" s="42" t="s">
        <v>33</v>
      </c>
      <c r="C20" s="43"/>
      <c r="D20" s="49">
        <v>8000</v>
      </c>
      <c r="E20" s="45"/>
      <c r="F20" s="45"/>
      <c r="G20" s="45"/>
      <c r="H20" s="45"/>
      <c r="I20" s="45"/>
      <c r="J20" s="50"/>
      <c r="K20" s="51">
        <v>8000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7"/>
      <c r="AA20" s="26"/>
      <c r="AB20" s="27"/>
    </row>
    <row r="21" spans="1:28" ht="16.5">
      <c r="A21" s="41" t="s">
        <v>34</v>
      </c>
      <c r="B21" s="42" t="s">
        <v>35</v>
      </c>
      <c r="C21" s="43"/>
      <c r="D21" s="49">
        <v>12000</v>
      </c>
      <c r="E21" s="45"/>
      <c r="F21" s="45"/>
      <c r="G21" s="45"/>
      <c r="H21" s="45"/>
      <c r="I21" s="45"/>
      <c r="J21" s="50"/>
      <c r="K21" s="51">
        <v>12000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7"/>
      <c r="AA21" s="26"/>
      <c r="AB21" s="27"/>
    </row>
    <row r="22" spans="1:28" ht="16.5">
      <c r="A22" s="41" t="s">
        <v>36</v>
      </c>
      <c r="B22" s="42" t="s">
        <v>37</v>
      </c>
      <c r="C22" s="43"/>
      <c r="D22" s="49">
        <v>35000</v>
      </c>
      <c r="E22" s="45"/>
      <c r="F22" s="45"/>
      <c r="G22" s="45"/>
      <c r="H22" s="45"/>
      <c r="I22" s="45"/>
      <c r="J22" s="50"/>
      <c r="K22" s="51">
        <v>35000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7"/>
      <c r="AA22" s="26"/>
      <c r="AB22" s="27"/>
    </row>
    <row r="23" spans="1:28" ht="16.5">
      <c r="A23" s="41" t="s">
        <v>38</v>
      </c>
      <c r="B23" s="42" t="s">
        <v>39</v>
      </c>
      <c r="C23" s="43"/>
      <c r="D23" s="49">
        <v>15000</v>
      </c>
      <c r="E23" s="45"/>
      <c r="F23" s="45"/>
      <c r="G23" s="45"/>
      <c r="H23" s="45"/>
      <c r="I23" s="45"/>
      <c r="J23" s="50"/>
      <c r="K23" s="51">
        <v>15000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7"/>
      <c r="AA23" s="26"/>
      <c r="AB23" s="27"/>
    </row>
    <row r="24" spans="1:28" ht="16.5">
      <c r="A24" s="41" t="s">
        <v>40</v>
      </c>
      <c r="B24" s="42" t="s">
        <v>41</v>
      </c>
      <c r="C24" s="43"/>
      <c r="D24" s="49">
        <v>35000</v>
      </c>
      <c r="E24" s="45"/>
      <c r="F24" s="45"/>
      <c r="G24" s="45"/>
      <c r="H24" s="45"/>
      <c r="I24" s="45"/>
      <c r="J24" s="50"/>
      <c r="K24" s="51">
        <v>35000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7"/>
      <c r="AA24" s="26"/>
      <c r="AB24" s="27"/>
    </row>
    <row r="25" spans="1:28" ht="16.5">
      <c r="A25" s="41" t="s">
        <v>42</v>
      </c>
      <c r="B25" s="42" t="s">
        <v>43</v>
      </c>
      <c r="C25" s="43"/>
      <c r="D25" s="49">
        <v>8000</v>
      </c>
      <c r="E25" s="45"/>
      <c r="F25" s="45"/>
      <c r="G25" s="45"/>
      <c r="H25" s="45"/>
      <c r="I25" s="45"/>
      <c r="J25" s="50"/>
      <c r="K25" s="51">
        <v>8000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7"/>
      <c r="AA25" s="26"/>
      <c r="AB25" s="27"/>
    </row>
    <row r="26" spans="1:28" ht="16.5">
      <c r="A26" s="41" t="s">
        <v>44</v>
      </c>
      <c r="B26" s="42" t="s">
        <v>45</v>
      </c>
      <c r="C26" s="43"/>
      <c r="D26" s="49">
        <v>8000</v>
      </c>
      <c r="E26" s="45"/>
      <c r="F26" s="45"/>
      <c r="G26" s="45"/>
      <c r="H26" s="45"/>
      <c r="I26" s="45"/>
      <c r="J26" s="50"/>
      <c r="K26" s="51">
        <v>8000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7"/>
      <c r="AA26" s="26"/>
      <c r="AB26" s="27"/>
    </row>
    <row r="27" spans="1:28" ht="33">
      <c r="A27" s="41" t="s">
        <v>46</v>
      </c>
      <c r="B27" s="42" t="s">
        <v>47</v>
      </c>
      <c r="C27" s="43"/>
      <c r="D27" s="49">
        <v>12000</v>
      </c>
      <c r="E27" s="45"/>
      <c r="F27" s="45"/>
      <c r="G27" s="45"/>
      <c r="H27" s="45"/>
      <c r="I27" s="45"/>
      <c r="J27" s="50"/>
      <c r="K27" s="51">
        <v>12000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7"/>
      <c r="AA27" s="26"/>
      <c r="AB27" s="27"/>
    </row>
    <row r="28" spans="1:28" ht="16.5">
      <c r="A28" s="41" t="s">
        <v>48</v>
      </c>
      <c r="B28" s="42" t="s">
        <v>49</v>
      </c>
      <c r="C28" s="43"/>
      <c r="D28" s="49">
        <v>8000</v>
      </c>
      <c r="E28" s="45"/>
      <c r="F28" s="45"/>
      <c r="G28" s="45"/>
      <c r="H28" s="45"/>
      <c r="I28" s="45"/>
      <c r="J28" s="50"/>
      <c r="K28" s="51">
        <v>8000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7"/>
      <c r="AA28" s="26"/>
      <c r="AB28" s="27"/>
    </row>
    <row r="29" spans="1:28" ht="16.5">
      <c r="A29" s="41" t="s">
        <v>50</v>
      </c>
      <c r="B29" s="42" t="s">
        <v>51</v>
      </c>
      <c r="C29" s="43"/>
      <c r="D29" s="49">
        <v>10000</v>
      </c>
      <c r="E29" s="45"/>
      <c r="F29" s="45"/>
      <c r="G29" s="45"/>
      <c r="H29" s="45"/>
      <c r="I29" s="45"/>
      <c r="J29" s="50"/>
      <c r="K29" s="51">
        <v>10000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7"/>
      <c r="AA29" s="26"/>
      <c r="AB29" s="27"/>
    </row>
    <row r="30" spans="1:28" ht="33">
      <c r="A30" s="41" t="s">
        <v>52</v>
      </c>
      <c r="B30" s="42" t="s">
        <v>53</v>
      </c>
      <c r="C30" s="43"/>
      <c r="D30" s="49">
        <v>8000</v>
      </c>
      <c r="E30" s="45"/>
      <c r="F30" s="45"/>
      <c r="G30" s="45"/>
      <c r="H30" s="45"/>
      <c r="I30" s="45"/>
      <c r="J30" s="50"/>
      <c r="K30" s="51">
        <v>8000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7"/>
      <c r="AA30" s="26"/>
      <c r="AB30" s="27"/>
    </row>
    <row r="31" spans="1:28" ht="16.5">
      <c r="A31" s="41" t="s">
        <v>54</v>
      </c>
      <c r="B31" s="42" t="s">
        <v>55</v>
      </c>
      <c r="C31" s="43"/>
      <c r="D31" s="49">
        <v>12000</v>
      </c>
      <c r="E31" s="45"/>
      <c r="F31" s="45"/>
      <c r="G31" s="45"/>
      <c r="H31" s="45"/>
      <c r="I31" s="45"/>
      <c r="J31" s="50"/>
      <c r="K31" s="51">
        <v>12000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7"/>
      <c r="AA31" s="26"/>
      <c r="AB31" s="27"/>
    </row>
    <row r="32" spans="1:28" ht="16.5">
      <c r="A32" s="41" t="s">
        <v>56</v>
      </c>
      <c r="B32" s="42" t="s">
        <v>57</v>
      </c>
      <c r="C32" s="43"/>
      <c r="D32" s="49">
        <v>15000</v>
      </c>
      <c r="E32" s="45"/>
      <c r="F32" s="45"/>
      <c r="G32" s="45"/>
      <c r="H32" s="45"/>
      <c r="I32" s="45"/>
      <c r="J32" s="50"/>
      <c r="K32" s="51">
        <v>15000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7"/>
      <c r="AA32" s="26"/>
      <c r="AB32" s="27"/>
    </row>
    <row r="33" spans="1:28" ht="33">
      <c r="A33" s="41" t="s">
        <v>58</v>
      </c>
      <c r="B33" s="42" t="s">
        <v>59</v>
      </c>
      <c r="C33" s="43"/>
      <c r="D33" s="49">
        <v>10000</v>
      </c>
      <c r="E33" s="45"/>
      <c r="F33" s="45"/>
      <c r="G33" s="45"/>
      <c r="H33" s="45"/>
      <c r="I33" s="45"/>
      <c r="J33" s="50"/>
      <c r="K33" s="51">
        <v>10000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7"/>
      <c r="AA33" s="26"/>
      <c r="AB33" s="27"/>
    </row>
    <row r="34" spans="1:28" ht="16.5">
      <c r="A34" s="41" t="s">
        <v>60</v>
      </c>
      <c r="B34" s="42" t="s">
        <v>19</v>
      </c>
      <c r="C34" s="43"/>
      <c r="D34" s="49">
        <v>16222.5</v>
      </c>
      <c r="E34" s="45"/>
      <c r="F34" s="45"/>
      <c r="G34" s="45"/>
      <c r="H34" s="45"/>
      <c r="I34" s="45"/>
      <c r="J34" s="50"/>
      <c r="K34" s="51">
        <v>16222.5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7"/>
      <c r="AA34" s="26"/>
      <c r="AB34" s="27"/>
    </row>
    <row r="35" spans="1:256" ht="16.5">
      <c r="A35" s="35">
        <v>2</v>
      </c>
      <c r="B35" s="36" t="s">
        <v>61</v>
      </c>
      <c r="C35" s="37">
        <v>0.2</v>
      </c>
      <c r="D35" s="38">
        <v>220360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26"/>
      <c r="AB35" s="27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8" ht="33">
      <c r="A36" s="35" t="s">
        <v>62</v>
      </c>
      <c r="B36" s="36" t="s">
        <v>63</v>
      </c>
      <c r="C36" s="37">
        <v>0.25</v>
      </c>
      <c r="D36" s="38">
        <v>55090</v>
      </c>
      <c r="E36" s="39"/>
      <c r="F36" s="39"/>
      <c r="G36" s="39"/>
      <c r="H36" s="46">
        <v>55090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0"/>
      <c r="AA36" s="26"/>
      <c r="AB36" s="27"/>
    </row>
    <row r="37" spans="1:28" ht="16.5">
      <c r="A37" s="35" t="s">
        <v>64</v>
      </c>
      <c r="B37" s="36" t="s">
        <v>65</v>
      </c>
      <c r="C37" s="37">
        <v>0.1</v>
      </c>
      <c r="D37" s="38">
        <v>22036</v>
      </c>
      <c r="E37" s="39"/>
      <c r="F37" s="39"/>
      <c r="G37" s="39"/>
      <c r="H37" s="46">
        <v>22036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  <c r="AA37" s="26"/>
      <c r="AB37" s="27"/>
    </row>
    <row r="38" spans="1:28" ht="33">
      <c r="A38" s="35" t="s">
        <v>66</v>
      </c>
      <c r="B38" s="36" t="s">
        <v>67</v>
      </c>
      <c r="C38" s="37">
        <v>0.5</v>
      </c>
      <c r="D38" s="38">
        <v>110180</v>
      </c>
      <c r="E38" s="48"/>
      <c r="F38" s="48"/>
      <c r="G38" s="48"/>
      <c r="H38" s="48"/>
      <c r="I38" s="48"/>
      <c r="J38" s="51">
        <v>110180</v>
      </c>
      <c r="K38" s="52"/>
      <c r="L38" s="4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  <c r="AA38" s="26"/>
      <c r="AB38" s="27"/>
    </row>
    <row r="39" spans="1:28" ht="33">
      <c r="A39" s="35" t="s">
        <v>68</v>
      </c>
      <c r="B39" s="36" t="s">
        <v>69</v>
      </c>
      <c r="C39" s="37">
        <v>0.15</v>
      </c>
      <c r="D39" s="38">
        <v>33054</v>
      </c>
      <c r="E39" s="48"/>
      <c r="F39" s="48"/>
      <c r="G39" s="48"/>
      <c r="H39" s="48"/>
      <c r="I39" s="48"/>
      <c r="J39" s="48"/>
      <c r="K39" s="51">
        <v>33054</v>
      </c>
      <c r="L39" s="4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  <c r="AA39" s="26"/>
      <c r="AB39" s="27"/>
    </row>
    <row r="40" spans="1:256" ht="16.5">
      <c r="A40" s="35">
        <v>3</v>
      </c>
      <c r="B40" s="36" t="s">
        <v>70</v>
      </c>
      <c r="C40" s="37">
        <v>0.25</v>
      </c>
      <c r="D40" s="38">
        <v>275450</v>
      </c>
      <c r="E40" s="48"/>
      <c r="F40" s="48"/>
      <c r="G40" s="48"/>
      <c r="H40" s="48"/>
      <c r="I40" s="48"/>
      <c r="J40" s="48"/>
      <c r="K40" s="48"/>
      <c r="L40" s="48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26"/>
      <c r="AB40" s="27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8" ht="16.5">
      <c r="A41" s="35" t="s">
        <v>71</v>
      </c>
      <c r="B41" s="36" t="s">
        <v>72</v>
      </c>
      <c r="C41" s="37">
        <v>0.15</v>
      </c>
      <c r="D41" s="38">
        <v>41317.5</v>
      </c>
      <c r="E41" s="48"/>
      <c r="F41" s="48"/>
      <c r="G41" s="48"/>
      <c r="H41" s="48"/>
      <c r="I41" s="48"/>
      <c r="J41" s="51">
        <v>41317.5</v>
      </c>
      <c r="K41" s="48"/>
      <c r="L41" s="4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  <c r="AA41" s="26"/>
      <c r="AB41" s="27"/>
    </row>
    <row r="42" spans="1:28" ht="16.5">
      <c r="A42" s="35" t="s">
        <v>73</v>
      </c>
      <c r="B42" s="36" t="s">
        <v>74</v>
      </c>
      <c r="C42" s="37">
        <v>0.85</v>
      </c>
      <c r="D42" s="38">
        <v>234132.5</v>
      </c>
      <c r="E42" s="48"/>
      <c r="F42" s="48"/>
      <c r="G42" s="48"/>
      <c r="H42" s="48"/>
      <c r="I42" s="48"/>
      <c r="J42" s="48"/>
      <c r="K42" s="48"/>
      <c r="L42" s="52"/>
      <c r="M42" s="48"/>
      <c r="N42" s="39"/>
      <c r="O42" s="51">
        <v>234132.5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26"/>
      <c r="AB42" s="27"/>
    </row>
    <row r="43" spans="1:256" ht="16.5">
      <c r="A43" s="35">
        <v>4</v>
      </c>
      <c r="B43" s="36" t="s">
        <v>75</v>
      </c>
      <c r="C43" s="37">
        <v>0.04</v>
      </c>
      <c r="D43" s="38">
        <v>44072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6">
        <v>22000</v>
      </c>
      <c r="T43" s="39"/>
      <c r="U43" s="46">
        <f>D43-S43</f>
        <v>22072</v>
      </c>
      <c r="V43" s="39"/>
      <c r="W43" s="39"/>
      <c r="X43" s="39"/>
      <c r="Y43" s="39"/>
      <c r="Z43" s="40"/>
      <c r="AA43" s="26"/>
      <c r="AB43" s="27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16.5">
      <c r="A44" s="35">
        <v>5</v>
      </c>
      <c r="B44" s="36" t="s">
        <v>76</v>
      </c>
      <c r="C44" s="37">
        <v>0.04</v>
      </c>
      <c r="D44" s="38">
        <v>44072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6">
        <v>44072</v>
      </c>
      <c r="S44" s="39"/>
      <c r="T44" s="39"/>
      <c r="U44" s="52"/>
      <c r="V44" s="39"/>
      <c r="W44" s="39"/>
      <c r="X44" s="39"/>
      <c r="Y44" s="39"/>
      <c r="Z44" s="40"/>
      <c r="AA44" s="26"/>
      <c r="AB44" s="27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33">
      <c r="A45" s="35">
        <v>6</v>
      </c>
      <c r="B45" s="36" t="s">
        <v>77</v>
      </c>
      <c r="C45" s="37">
        <v>0.04</v>
      </c>
      <c r="D45" s="38">
        <v>44072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>
        <v>44072</v>
      </c>
      <c r="V45" s="39"/>
      <c r="W45" s="39"/>
      <c r="X45" s="39"/>
      <c r="Y45" s="39"/>
      <c r="Z45" s="40"/>
      <c r="AA45" s="26"/>
      <c r="AB45" s="27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33">
      <c r="A46" s="35">
        <v>7</v>
      </c>
      <c r="B46" s="36" t="s">
        <v>78</v>
      </c>
      <c r="C46" s="37">
        <v>0.04</v>
      </c>
      <c r="D46" s="38">
        <v>44072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6">
        <v>44072</v>
      </c>
      <c r="V46" s="39"/>
      <c r="W46" s="39"/>
      <c r="X46" s="39"/>
      <c r="Y46" s="39"/>
      <c r="Z46" s="40"/>
      <c r="AA46" s="26"/>
      <c r="AB46" s="27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16.5">
      <c r="A47" s="35">
        <v>8</v>
      </c>
      <c r="B47" s="53" t="s">
        <v>79</v>
      </c>
      <c r="C47" s="37">
        <v>0.02</v>
      </c>
      <c r="D47" s="38">
        <v>22036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6">
        <v>22036</v>
      </c>
      <c r="V47" s="39"/>
      <c r="W47" s="39"/>
      <c r="X47" s="39"/>
      <c r="Y47" s="39"/>
      <c r="Z47" s="40"/>
      <c r="AA47" s="26"/>
      <c r="AB47" s="27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49.5">
      <c r="A48" s="35">
        <v>9</v>
      </c>
      <c r="B48" s="36" t="s">
        <v>80</v>
      </c>
      <c r="C48" s="37">
        <v>0.02</v>
      </c>
      <c r="D48" s="38">
        <v>22036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6">
        <v>11018</v>
      </c>
      <c r="T48" s="39"/>
      <c r="U48" s="46">
        <f>D48-S48</f>
        <v>11018</v>
      </c>
      <c r="V48" s="39"/>
      <c r="W48" s="39"/>
      <c r="X48" s="39"/>
      <c r="Y48" s="39"/>
      <c r="Z48" s="40"/>
      <c r="AA48" s="26"/>
      <c r="AB48" s="27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8" ht="30">
      <c r="A49" s="54" t="s">
        <v>81</v>
      </c>
      <c r="B49" s="55" t="s">
        <v>82</v>
      </c>
      <c r="C49" s="56" t="s">
        <v>83</v>
      </c>
      <c r="D49" s="57">
        <v>7279750</v>
      </c>
      <c r="E49" s="58">
        <f>SUM(E50:E162)</f>
        <v>0</v>
      </c>
      <c r="F49" s="58">
        <f>SUM(F50:F162)</f>
        <v>0</v>
      </c>
      <c r="G49" s="58">
        <f>SUM(G50:G162)</f>
        <v>0</v>
      </c>
      <c r="H49" s="58">
        <f>SUM(H50:H162)</f>
        <v>0</v>
      </c>
      <c r="I49" s="58">
        <f>SUM(I50:I162)</f>
        <v>0</v>
      </c>
      <c r="J49" s="58">
        <f>SUM(J50:J162)</f>
        <v>0</v>
      </c>
      <c r="K49" s="58">
        <f>SUM(K50:K162)</f>
        <v>0</v>
      </c>
      <c r="L49" s="58">
        <f>SUM(L50:L162)</f>
        <v>0</v>
      </c>
      <c r="M49" s="58">
        <f>SUM(M50:M162)</f>
        <v>582380</v>
      </c>
      <c r="N49" s="58">
        <f>SUM(N50:N162)</f>
        <v>1090142.4725000001</v>
      </c>
      <c r="O49" s="58">
        <f>SUM(O50:O162)</f>
        <v>2594337</v>
      </c>
      <c r="P49" s="58">
        <f>SUM(P50:P162)</f>
        <v>1395470.918882527</v>
      </c>
      <c r="Q49" s="58">
        <v>905977.81</v>
      </c>
      <c r="R49" s="58">
        <f>R50+R74+R93</f>
        <v>452816.01</v>
      </c>
      <c r="S49" s="58">
        <v>197498.7</v>
      </c>
      <c r="T49" s="58">
        <f>SUM(T50:T162)</f>
        <v>0</v>
      </c>
      <c r="U49" s="58">
        <f>SUM(U50:U162)</f>
        <v>0</v>
      </c>
      <c r="V49" s="58">
        <f>SUM(V50:V162)</f>
        <v>0</v>
      </c>
      <c r="W49" s="58">
        <f>SUM(W50:W162)</f>
        <v>0</v>
      </c>
      <c r="X49" s="58">
        <f>SUM(X50:X162)</f>
        <v>0</v>
      </c>
      <c r="Y49" s="58">
        <f>SUM(Y50:Y162)</f>
        <v>0</v>
      </c>
      <c r="Z49" s="58">
        <f>SUM(Z50:Z162)</f>
        <v>0</v>
      </c>
      <c r="AA49" s="26"/>
      <c r="AB49" s="27"/>
    </row>
    <row r="50" spans="1:256" ht="33">
      <c r="A50" s="35">
        <v>1</v>
      </c>
      <c r="B50" s="36" t="s">
        <v>84</v>
      </c>
      <c r="C50" s="59">
        <v>0.05</v>
      </c>
      <c r="D50" s="60">
        <v>363987.5</v>
      </c>
      <c r="E50" s="39"/>
      <c r="F50" s="39"/>
      <c r="G50" s="39"/>
      <c r="H50" s="39"/>
      <c r="I50" s="48"/>
      <c r="J50" s="48"/>
      <c r="K50" s="48"/>
      <c r="L50" s="52"/>
      <c r="M50" s="48"/>
      <c r="N50" s="39"/>
      <c r="O50" s="39"/>
      <c r="P50" s="39"/>
      <c r="Q50" s="46">
        <f>Q72</f>
        <v>2907.73</v>
      </c>
      <c r="R50" s="46">
        <f>SUM(R51:R73)</f>
        <v>21850.01</v>
      </c>
      <c r="S50" s="39"/>
      <c r="T50" s="39"/>
      <c r="U50" s="39"/>
      <c r="V50" s="39"/>
      <c r="W50" s="39"/>
      <c r="X50" s="39"/>
      <c r="Y50" s="39"/>
      <c r="Z50" s="40"/>
      <c r="AA50" s="26"/>
      <c r="AB50" s="27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8" ht="16.5">
      <c r="A51" s="35" t="s">
        <v>10</v>
      </c>
      <c r="B51" s="36" t="s">
        <v>85</v>
      </c>
      <c r="C51" s="61">
        <v>0.188</v>
      </c>
      <c r="D51" s="62">
        <v>68433.9864110201</v>
      </c>
      <c r="E51" s="39"/>
      <c r="F51" s="39"/>
      <c r="G51" s="39"/>
      <c r="H51" s="39"/>
      <c r="I51" s="48"/>
      <c r="J51" s="48"/>
      <c r="K51" s="48"/>
      <c r="L51" s="52"/>
      <c r="M51" s="48"/>
      <c r="N51" s="46">
        <f aca="true" t="shared" si="0" ref="N51:N69">D51</f>
        <v>68433.9864110201</v>
      </c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26"/>
      <c r="AB51" s="27"/>
    </row>
    <row r="52" spans="1:28" ht="16.5">
      <c r="A52" s="35" t="s">
        <v>20</v>
      </c>
      <c r="B52" s="36" t="s">
        <v>86</v>
      </c>
      <c r="C52" s="61">
        <v>0.203</v>
      </c>
      <c r="D52" s="62">
        <v>73896.84795001862</v>
      </c>
      <c r="E52" s="39"/>
      <c r="F52" s="39"/>
      <c r="G52" s="39"/>
      <c r="H52" s="39"/>
      <c r="I52" s="48"/>
      <c r="J52" s="48"/>
      <c r="K52" s="48"/>
      <c r="L52" s="52"/>
      <c r="M52" s="48"/>
      <c r="N52" s="46">
        <f t="shared" si="0"/>
        <v>73896.84795001862</v>
      </c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26"/>
      <c r="AB52" s="27"/>
    </row>
    <row r="53" spans="1:28" ht="16.5">
      <c r="A53" s="35" t="s">
        <v>87</v>
      </c>
      <c r="B53" s="36" t="s">
        <v>88</v>
      </c>
      <c r="C53" s="61">
        <v>0.0136</v>
      </c>
      <c r="D53" s="62">
        <v>4954.688372580045</v>
      </c>
      <c r="E53" s="39"/>
      <c r="F53" s="39"/>
      <c r="G53" s="39"/>
      <c r="H53" s="39"/>
      <c r="I53" s="48"/>
      <c r="J53" s="48"/>
      <c r="K53" s="48"/>
      <c r="L53" s="52"/>
      <c r="M53" s="48"/>
      <c r="N53" s="46">
        <f t="shared" si="0"/>
        <v>4954.688372580045</v>
      </c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26"/>
      <c r="AB53" s="27"/>
    </row>
    <row r="54" spans="1:28" ht="16.5">
      <c r="A54" s="35" t="s">
        <v>89</v>
      </c>
      <c r="B54" s="36" t="s">
        <v>90</v>
      </c>
      <c r="C54" s="61">
        <v>0.0027</v>
      </c>
      <c r="D54" s="62">
        <v>995.1724509028295</v>
      </c>
      <c r="E54" s="39"/>
      <c r="F54" s="39"/>
      <c r="G54" s="39"/>
      <c r="H54" s="39"/>
      <c r="I54" s="48"/>
      <c r="J54" s="48"/>
      <c r="K54" s="48"/>
      <c r="L54" s="52"/>
      <c r="M54" s="48"/>
      <c r="N54" s="46">
        <f t="shared" si="0"/>
        <v>995.1724509028295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26"/>
      <c r="AB54" s="27"/>
    </row>
    <row r="55" spans="1:28" ht="16.5">
      <c r="A55" s="35" t="s">
        <v>91</v>
      </c>
      <c r="B55" s="36" t="s">
        <v>92</v>
      </c>
      <c r="C55" s="61">
        <v>0.0049</v>
      </c>
      <c r="D55" s="62">
        <v>1778.6060824646313</v>
      </c>
      <c r="E55" s="39"/>
      <c r="F55" s="39"/>
      <c r="G55" s="39"/>
      <c r="H55" s="39"/>
      <c r="I55" s="48"/>
      <c r="J55" s="48"/>
      <c r="K55" s="48"/>
      <c r="L55" s="52"/>
      <c r="M55" s="48"/>
      <c r="N55" s="46">
        <f t="shared" si="0"/>
        <v>1778.6060824646313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26"/>
      <c r="AB55" s="27"/>
    </row>
    <row r="56" spans="1:28" ht="16.5">
      <c r="A56" s="35" t="s">
        <v>93</v>
      </c>
      <c r="B56" s="36" t="s">
        <v>94</v>
      </c>
      <c r="C56" s="61">
        <v>0.0035</v>
      </c>
      <c r="D56" s="62">
        <v>1270.4329160461652</v>
      </c>
      <c r="E56" s="39"/>
      <c r="F56" s="39"/>
      <c r="G56" s="39"/>
      <c r="H56" s="39"/>
      <c r="I56" s="48"/>
      <c r="J56" s="48"/>
      <c r="K56" s="48"/>
      <c r="L56" s="52"/>
      <c r="M56" s="48"/>
      <c r="N56" s="46">
        <f t="shared" si="0"/>
        <v>1270.4329160461652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26"/>
      <c r="AB56" s="27"/>
    </row>
    <row r="57" spans="1:28" ht="16.5">
      <c r="A57" s="35" t="s">
        <v>95</v>
      </c>
      <c r="B57" s="36" t="s">
        <v>96</v>
      </c>
      <c r="C57" s="61">
        <v>0.032</v>
      </c>
      <c r="D57" s="62">
        <v>11645.635063756514</v>
      </c>
      <c r="E57" s="39"/>
      <c r="F57" s="39"/>
      <c r="G57" s="39"/>
      <c r="H57" s="39"/>
      <c r="I57" s="48"/>
      <c r="J57" s="48"/>
      <c r="K57" s="48"/>
      <c r="L57" s="52"/>
      <c r="M57" s="48"/>
      <c r="N57" s="46">
        <f t="shared" si="0"/>
        <v>11645.635063756514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26"/>
      <c r="AB57" s="27"/>
    </row>
    <row r="58" spans="1:28" ht="16.5">
      <c r="A58" s="35" t="s">
        <v>97</v>
      </c>
      <c r="B58" s="36" t="s">
        <v>98</v>
      </c>
      <c r="C58" s="61">
        <v>0.0413</v>
      </c>
      <c r="D58" s="62">
        <v>15033.456173212953</v>
      </c>
      <c r="E58" s="39"/>
      <c r="F58" s="39"/>
      <c r="G58" s="39"/>
      <c r="H58" s="39"/>
      <c r="I58" s="48"/>
      <c r="J58" s="48"/>
      <c r="K58" s="48"/>
      <c r="L58" s="52"/>
      <c r="M58" s="48"/>
      <c r="N58" s="46">
        <f t="shared" si="0"/>
        <v>15033.456173212953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  <c r="AA58" s="26"/>
      <c r="AB58" s="27"/>
    </row>
    <row r="59" spans="1:28" ht="17.25">
      <c r="A59" s="35" t="s">
        <v>99</v>
      </c>
      <c r="B59" s="36" t="s">
        <v>100</v>
      </c>
      <c r="C59" s="61">
        <v>0.3106</v>
      </c>
      <c r="D59" s="63">
        <v>113068.52952810872</v>
      </c>
      <c r="E59" s="39"/>
      <c r="F59" s="39"/>
      <c r="G59" s="39"/>
      <c r="H59" s="39"/>
      <c r="I59" s="48"/>
      <c r="J59" s="48"/>
      <c r="K59" s="48"/>
      <c r="L59" s="52"/>
      <c r="M59" s="48"/>
      <c r="N59" s="46">
        <f t="shared" si="0"/>
        <v>113068.52952810872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26"/>
      <c r="AB59" s="27"/>
    </row>
    <row r="60" spans="1:28" ht="17.25">
      <c r="A60" s="35" t="s">
        <v>101</v>
      </c>
      <c r="B60" s="36" t="s">
        <v>102</v>
      </c>
      <c r="C60" s="61">
        <v>0.0058</v>
      </c>
      <c r="D60" s="63">
        <v>2117.3881934102756</v>
      </c>
      <c r="E60" s="39"/>
      <c r="F60" s="39"/>
      <c r="G60" s="39"/>
      <c r="H60" s="39"/>
      <c r="I60" s="48"/>
      <c r="J60" s="48"/>
      <c r="K60" s="48"/>
      <c r="L60" s="52"/>
      <c r="M60" s="48"/>
      <c r="N60" s="46">
        <f t="shared" si="0"/>
        <v>2117.3881934102756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  <c r="AA60" s="26"/>
      <c r="AB60" s="27"/>
    </row>
    <row r="61" spans="1:28" ht="17.25">
      <c r="A61" s="35" t="s">
        <v>103</v>
      </c>
      <c r="B61" s="36" t="s">
        <v>104</v>
      </c>
      <c r="C61" s="61">
        <v>0.0017</v>
      </c>
      <c r="D61" s="63">
        <v>635.2164580230826</v>
      </c>
      <c r="E61" s="39"/>
      <c r="F61" s="39"/>
      <c r="G61" s="39"/>
      <c r="H61" s="39"/>
      <c r="I61" s="48"/>
      <c r="J61" s="48"/>
      <c r="K61" s="48"/>
      <c r="L61" s="52"/>
      <c r="M61" s="48"/>
      <c r="N61" s="46">
        <f t="shared" si="0"/>
        <v>635.2164580230826</v>
      </c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  <c r="AA61" s="26"/>
      <c r="AB61" s="27"/>
    </row>
    <row r="62" spans="1:28" ht="17.25">
      <c r="A62" s="35" t="s">
        <v>105</v>
      </c>
      <c r="B62" s="36" t="s">
        <v>106</v>
      </c>
      <c r="C62" s="61">
        <v>0.0341</v>
      </c>
      <c r="D62" s="63">
        <v>12407.894813384213</v>
      </c>
      <c r="E62" s="39"/>
      <c r="F62" s="39"/>
      <c r="G62" s="39"/>
      <c r="H62" s="39"/>
      <c r="I62" s="48"/>
      <c r="J62" s="48"/>
      <c r="K62" s="48"/>
      <c r="L62" s="52"/>
      <c r="M62" s="48"/>
      <c r="N62" s="46">
        <f t="shared" si="0"/>
        <v>12407.894813384213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26"/>
      <c r="AB62" s="27"/>
    </row>
    <row r="63" spans="1:28" ht="17.25">
      <c r="A63" s="35" t="s">
        <v>107</v>
      </c>
      <c r="B63" s="36" t="s">
        <v>108</v>
      </c>
      <c r="C63" s="61">
        <v>0.0066</v>
      </c>
      <c r="D63" s="63">
        <v>2413.822540487714</v>
      </c>
      <c r="E63" s="39"/>
      <c r="F63" s="39"/>
      <c r="G63" s="39"/>
      <c r="H63" s="39"/>
      <c r="I63" s="48"/>
      <c r="J63" s="48"/>
      <c r="K63" s="48"/>
      <c r="L63" s="52"/>
      <c r="M63" s="48"/>
      <c r="N63" s="46">
        <f t="shared" si="0"/>
        <v>2413.822540487714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  <c r="AA63" s="26"/>
      <c r="AB63" s="27"/>
    </row>
    <row r="64" spans="1:28" ht="17.25">
      <c r="A64" s="35" t="s">
        <v>109</v>
      </c>
      <c r="B64" s="36" t="s">
        <v>110</v>
      </c>
      <c r="C64" s="61">
        <v>0.0116</v>
      </c>
      <c r="D64" s="63">
        <v>4234.776386820551</v>
      </c>
      <c r="E64" s="39"/>
      <c r="F64" s="39"/>
      <c r="G64" s="39"/>
      <c r="H64" s="39"/>
      <c r="I64" s="48"/>
      <c r="J64" s="48"/>
      <c r="K64" s="48"/>
      <c r="L64" s="52"/>
      <c r="M64" s="48"/>
      <c r="N64" s="46">
        <f t="shared" si="0"/>
        <v>4234.776386820551</v>
      </c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  <c r="AA64" s="26"/>
      <c r="AB64" s="27"/>
    </row>
    <row r="65" spans="1:28" ht="17.25">
      <c r="A65" s="35" t="s">
        <v>111</v>
      </c>
      <c r="B65" s="36" t="s">
        <v>112</v>
      </c>
      <c r="C65" s="61">
        <v>0.0017</v>
      </c>
      <c r="D65" s="63">
        <v>614.0425760889799</v>
      </c>
      <c r="E65" s="39"/>
      <c r="F65" s="39"/>
      <c r="G65" s="39"/>
      <c r="H65" s="39"/>
      <c r="I65" s="48"/>
      <c r="J65" s="48"/>
      <c r="K65" s="48"/>
      <c r="L65" s="52"/>
      <c r="M65" s="48"/>
      <c r="N65" s="46">
        <f t="shared" si="0"/>
        <v>614.0425760889799</v>
      </c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  <c r="AA65" s="26"/>
      <c r="AB65" s="27"/>
    </row>
    <row r="66" spans="1:28" ht="17.25">
      <c r="A66" s="35" t="s">
        <v>113</v>
      </c>
      <c r="B66" s="36" t="s">
        <v>114</v>
      </c>
      <c r="C66" s="61">
        <v>0.0033</v>
      </c>
      <c r="D66" s="63">
        <v>1185.7373883097544</v>
      </c>
      <c r="E66" s="39"/>
      <c r="F66" s="39"/>
      <c r="G66" s="39"/>
      <c r="H66" s="39"/>
      <c r="I66" s="48"/>
      <c r="J66" s="48"/>
      <c r="K66" s="48"/>
      <c r="L66" s="52"/>
      <c r="M66" s="48"/>
      <c r="N66" s="46">
        <f t="shared" si="0"/>
        <v>1185.7373883097544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  <c r="AA66" s="26"/>
      <c r="AB66" s="27"/>
    </row>
    <row r="67" spans="1:28" ht="17.25">
      <c r="A67" s="35" t="s">
        <v>115</v>
      </c>
      <c r="B67" s="36" t="s">
        <v>116</v>
      </c>
      <c r="C67" s="61">
        <v>0.0036</v>
      </c>
      <c r="D67" s="63">
        <v>1295.8415743670887</v>
      </c>
      <c r="E67" s="39"/>
      <c r="F67" s="39"/>
      <c r="G67" s="39"/>
      <c r="H67" s="39"/>
      <c r="I67" s="48"/>
      <c r="J67" s="48"/>
      <c r="K67" s="48"/>
      <c r="L67" s="52"/>
      <c r="M67" s="48"/>
      <c r="N67" s="46">
        <f t="shared" si="0"/>
        <v>1295.8415743670887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  <c r="AA67" s="26"/>
      <c r="AB67" s="27"/>
    </row>
    <row r="68" spans="1:28" ht="17.25">
      <c r="A68" s="35" t="s">
        <v>117</v>
      </c>
      <c r="B68" s="36" t="s">
        <v>118</v>
      </c>
      <c r="C68" s="61">
        <v>0.0066</v>
      </c>
      <c r="D68" s="63">
        <v>2413.822540487714</v>
      </c>
      <c r="E68" s="39"/>
      <c r="F68" s="39"/>
      <c r="G68" s="39"/>
      <c r="H68" s="39"/>
      <c r="I68" s="48"/>
      <c r="J68" s="48"/>
      <c r="K68" s="48"/>
      <c r="L68" s="52"/>
      <c r="M68" s="48"/>
      <c r="N68" s="46">
        <f t="shared" si="0"/>
        <v>2413.822540487714</v>
      </c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  <c r="AA68" s="26"/>
      <c r="AB68" s="27"/>
    </row>
    <row r="69" spans="1:28" ht="17.25">
      <c r="A69" s="35" t="s">
        <v>119</v>
      </c>
      <c r="B69" s="36" t="s">
        <v>120</v>
      </c>
      <c r="C69" s="61">
        <v>0.0003</v>
      </c>
      <c r="D69" s="63">
        <v>93.16508051005212</v>
      </c>
      <c r="E69" s="39"/>
      <c r="F69" s="39"/>
      <c r="G69" s="39"/>
      <c r="H69" s="39"/>
      <c r="I69" s="48"/>
      <c r="J69" s="48"/>
      <c r="K69" s="48"/>
      <c r="L69" s="52"/>
      <c r="M69" s="48"/>
      <c r="N69" s="46">
        <f t="shared" si="0"/>
        <v>93.16508051005212</v>
      </c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  <c r="AA69" s="26"/>
      <c r="AB69" s="27"/>
    </row>
    <row r="70" spans="1:28" ht="17.25">
      <c r="A70" s="35" t="s">
        <v>121</v>
      </c>
      <c r="B70" s="36" t="s">
        <v>122</v>
      </c>
      <c r="C70" s="61">
        <v>3.62</v>
      </c>
      <c r="D70" s="63">
        <v>13194.042644070925</v>
      </c>
      <c r="E70" s="39"/>
      <c r="F70" s="39"/>
      <c r="G70" s="39"/>
      <c r="H70" s="39"/>
      <c r="I70" s="48"/>
      <c r="J70" s="48"/>
      <c r="K70" s="48"/>
      <c r="L70" s="52"/>
      <c r="M70" s="48"/>
      <c r="N70" s="39"/>
      <c r="O70" s="39"/>
      <c r="P70" s="46">
        <f aca="true" t="shared" si="1" ref="P70:P71">D70</f>
        <v>13194.042644070925</v>
      </c>
      <c r="Q70" s="39"/>
      <c r="R70" s="39"/>
      <c r="S70" s="39"/>
      <c r="T70" s="39"/>
      <c r="U70" s="39"/>
      <c r="V70" s="39"/>
      <c r="W70" s="39"/>
      <c r="X70" s="39"/>
      <c r="Y70" s="39"/>
      <c r="Z70" s="40"/>
      <c r="AA70" s="26"/>
      <c r="AB70" s="27"/>
    </row>
    <row r="71" spans="1:28" ht="33">
      <c r="A71" s="35" t="s">
        <v>123</v>
      </c>
      <c r="B71" s="36" t="s">
        <v>124</v>
      </c>
      <c r="C71" s="61">
        <v>0.0207</v>
      </c>
      <c r="D71" s="63">
        <v>7546.656238455856</v>
      </c>
      <c r="E71" s="39"/>
      <c r="F71" s="39"/>
      <c r="G71" s="39"/>
      <c r="H71" s="39"/>
      <c r="I71" s="48"/>
      <c r="J71" s="48"/>
      <c r="K71" s="48"/>
      <c r="L71" s="52"/>
      <c r="M71" s="48"/>
      <c r="N71" s="39"/>
      <c r="O71" s="39"/>
      <c r="P71" s="46">
        <f t="shared" si="1"/>
        <v>7546.656238455856</v>
      </c>
      <c r="Q71" s="39"/>
      <c r="R71" s="39"/>
      <c r="S71" s="39"/>
      <c r="T71" s="39"/>
      <c r="U71" s="39"/>
      <c r="V71" s="39"/>
      <c r="W71" s="39"/>
      <c r="X71" s="39"/>
      <c r="Y71" s="39"/>
      <c r="Z71" s="40"/>
      <c r="AA71" s="26"/>
      <c r="AB71" s="27"/>
    </row>
    <row r="72" spans="1:28" ht="17.25">
      <c r="A72" s="35" t="s">
        <v>125</v>
      </c>
      <c r="B72" s="36" t="s">
        <v>126</v>
      </c>
      <c r="C72" s="61">
        <v>0.008</v>
      </c>
      <c r="D72" s="63">
        <v>2907.73</v>
      </c>
      <c r="E72" s="39"/>
      <c r="F72" s="39"/>
      <c r="G72" s="39"/>
      <c r="H72" s="39"/>
      <c r="I72" s="48"/>
      <c r="J72" s="48"/>
      <c r="K72" s="48"/>
      <c r="L72" s="52"/>
      <c r="M72" s="48"/>
      <c r="N72" s="39"/>
      <c r="O72" s="39"/>
      <c r="P72" s="39"/>
      <c r="Q72" s="46">
        <f>D72</f>
        <v>2907.73</v>
      </c>
      <c r="R72" s="39"/>
      <c r="S72" s="39"/>
      <c r="T72" s="39"/>
      <c r="U72" s="39"/>
      <c r="V72" s="39"/>
      <c r="W72" s="39"/>
      <c r="X72" s="39"/>
      <c r="Y72" s="39"/>
      <c r="Z72" s="40"/>
      <c r="AA72" s="26"/>
      <c r="AB72" s="27"/>
    </row>
    <row r="73" spans="1:28" ht="33">
      <c r="A73" s="35" t="s">
        <v>127</v>
      </c>
      <c r="B73" s="36" t="s">
        <v>128</v>
      </c>
      <c r="C73" s="61">
        <v>0.06</v>
      </c>
      <c r="D73" s="63">
        <v>21850.006926486887</v>
      </c>
      <c r="E73" s="39"/>
      <c r="F73" s="39"/>
      <c r="G73" s="39"/>
      <c r="H73" s="39"/>
      <c r="I73" s="48"/>
      <c r="J73" s="48"/>
      <c r="K73" s="48"/>
      <c r="L73" s="52"/>
      <c r="M73" s="48"/>
      <c r="N73" s="39"/>
      <c r="O73" s="39"/>
      <c r="P73" s="39"/>
      <c r="Q73" s="39"/>
      <c r="R73" s="46">
        <v>21850.01</v>
      </c>
      <c r="S73" s="39"/>
      <c r="T73" s="39"/>
      <c r="U73" s="39"/>
      <c r="V73" s="39"/>
      <c r="W73" s="39"/>
      <c r="X73" s="39"/>
      <c r="Y73" s="39"/>
      <c r="Z73" s="40"/>
      <c r="AA73" s="26"/>
      <c r="AB73" s="27"/>
    </row>
    <row r="74" spans="1:256" ht="33">
      <c r="A74" s="35">
        <v>2</v>
      </c>
      <c r="B74" s="64" t="s">
        <v>129</v>
      </c>
      <c r="C74" s="61">
        <v>0.4</v>
      </c>
      <c r="D74" s="65">
        <v>2911900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6">
        <f>Q82+Q89</f>
        <v>135332</v>
      </c>
      <c r="R74" s="46">
        <f>R76+R82</f>
        <v>96238</v>
      </c>
      <c r="S74" s="46">
        <f>S82+S89</f>
        <v>94833</v>
      </c>
      <c r="T74" s="39"/>
      <c r="U74" s="39"/>
      <c r="V74" s="39"/>
      <c r="W74" s="39"/>
      <c r="X74" s="39"/>
      <c r="Y74" s="39"/>
      <c r="Z74" s="40"/>
      <c r="AA74" s="26"/>
      <c r="AB74" s="27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</row>
    <row r="75" spans="1:28" ht="17.25">
      <c r="A75" s="35" t="s">
        <v>62</v>
      </c>
      <c r="B75" s="66" t="s">
        <v>130</v>
      </c>
      <c r="C75" s="61">
        <v>0.2</v>
      </c>
      <c r="D75" s="63">
        <v>582380</v>
      </c>
      <c r="E75" s="39"/>
      <c r="F75" s="39"/>
      <c r="G75" s="39"/>
      <c r="H75" s="39"/>
      <c r="I75" s="39"/>
      <c r="J75" s="39"/>
      <c r="K75" s="39"/>
      <c r="L75" s="39"/>
      <c r="M75" s="46">
        <f>D75</f>
        <v>582380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  <c r="AA75" s="26"/>
      <c r="AB75" s="27"/>
    </row>
    <row r="76" spans="1:28" ht="17.25">
      <c r="A76" s="35" t="s">
        <v>64</v>
      </c>
      <c r="B76" s="66" t="s">
        <v>131</v>
      </c>
      <c r="C76" s="61">
        <v>0.1</v>
      </c>
      <c r="D76" s="63">
        <v>291190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6">
        <f>R78</f>
        <v>46238</v>
      </c>
      <c r="S76" s="39"/>
      <c r="T76" s="39"/>
      <c r="U76" s="39"/>
      <c r="V76" s="39"/>
      <c r="W76" s="39"/>
      <c r="X76" s="39"/>
      <c r="Y76" s="39"/>
      <c r="Z76" s="40"/>
      <c r="AA76" s="26"/>
      <c r="AB76" s="27"/>
    </row>
    <row r="77" spans="1:28" ht="17.25">
      <c r="A77" s="41" t="s">
        <v>132</v>
      </c>
      <c r="B77" s="67" t="s">
        <v>133</v>
      </c>
      <c r="C77" s="68">
        <v>0.21</v>
      </c>
      <c r="D77" s="69">
        <v>60000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6">
        <v>60000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7"/>
      <c r="AA77" s="26"/>
      <c r="AB77" s="27"/>
    </row>
    <row r="78" spans="1:28" ht="17.25">
      <c r="A78" s="41" t="s">
        <v>134</v>
      </c>
      <c r="B78" s="67" t="s">
        <v>135</v>
      </c>
      <c r="C78" s="68">
        <v>0.79</v>
      </c>
      <c r="D78" s="69">
        <v>231190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6">
        <v>184952</v>
      </c>
      <c r="P78" s="45"/>
      <c r="Q78" s="45"/>
      <c r="R78" s="46">
        <v>46238</v>
      </c>
      <c r="S78" s="45"/>
      <c r="T78" s="45"/>
      <c r="U78" s="45"/>
      <c r="V78" s="45"/>
      <c r="W78" s="45"/>
      <c r="X78" s="45"/>
      <c r="Y78" s="45"/>
      <c r="Z78" s="47"/>
      <c r="AA78" s="26"/>
      <c r="AB78" s="27"/>
    </row>
    <row r="79" spans="1:28" ht="17.25">
      <c r="A79" s="35" t="s">
        <v>66</v>
      </c>
      <c r="B79" s="66" t="s">
        <v>136</v>
      </c>
      <c r="C79" s="61">
        <v>0.35</v>
      </c>
      <c r="D79" s="63">
        <v>1019165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  <c r="AA79" s="26"/>
      <c r="AB79" s="27"/>
    </row>
    <row r="80" spans="1:28" ht="17.25">
      <c r="A80" s="41" t="s">
        <v>137</v>
      </c>
      <c r="B80" s="67" t="s">
        <v>138</v>
      </c>
      <c r="C80" s="68">
        <v>0.7</v>
      </c>
      <c r="D80" s="69">
        <v>713415.5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6">
        <v>713415.5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7"/>
      <c r="AA80" s="26"/>
      <c r="AB80" s="27"/>
    </row>
    <row r="81" spans="1:28" ht="17.25">
      <c r="A81" s="41" t="s">
        <v>139</v>
      </c>
      <c r="B81" s="67" t="s">
        <v>140</v>
      </c>
      <c r="C81" s="68">
        <v>0.3</v>
      </c>
      <c r="D81" s="69">
        <v>305749.5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6">
        <v>305749.5</v>
      </c>
      <c r="Q81" s="45"/>
      <c r="R81" s="45"/>
      <c r="S81" s="45"/>
      <c r="T81" s="45"/>
      <c r="U81" s="45"/>
      <c r="V81" s="45"/>
      <c r="W81" s="45"/>
      <c r="X81" s="45"/>
      <c r="Y81" s="45"/>
      <c r="Z81" s="47"/>
      <c r="AA81" s="26"/>
      <c r="AB81" s="27"/>
    </row>
    <row r="82" spans="1:28" ht="17.25">
      <c r="A82" s="35" t="s">
        <v>68</v>
      </c>
      <c r="B82" s="66" t="s">
        <v>141</v>
      </c>
      <c r="C82" s="61">
        <v>0.25</v>
      </c>
      <c r="D82" s="63">
        <v>727975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6">
        <f>Q87</f>
        <v>30380</v>
      </c>
      <c r="R82" s="46">
        <f>R83</f>
        <v>50000</v>
      </c>
      <c r="S82" s="70">
        <f>SUM(S83:S88)</f>
        <v>12595</v>
      </c>
      <c r="T82" s="39"/>
      <c r="U82" s="39"/>
      <c r="V82" s="39"/>
      <c r="W82" s="39"/>
      <c r="X82" s="39"/>
      <c r="Y82" s="39"/>
      <c r="Z82" s="40"/>
      <c r="AA82" s="26"/>
      <c r="AB82" s="27"/>
    </row>
    <row r="83" spans="1:28" ht="17.25">
      <c r="A83" s="41" t="s">
        <v>142</v>
      </c>
      <c r="B83" s="67" t="s">
        <v>143</v>
      </c>
      <c r="C83" s="68">
        <v>0.34</v>
      </c>
      <c r="D83" s="69">
        <v>250000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6">
        <v>200000</v>
      </c>
      <c r="Q83" s="45"/>
      <c r="R83" s="46">
        <v>50000</v>
      </c>
      <c r="S83" s="45"/>
      <c r="T83" s="45"/>
      <c r="U83" s="45"/>
      <c r="V83" s="45"/>
      <c r="W83" s="45"/>
      <c r="X83" s="45"/>
      <c r="Y83" s="45"/>
      <c r="Z83" s="47"/>
      <c r="AA83" s="26"/>
      <c r="AB83" s="27"/>
    </row>
    <row r="84" spans="1:28" ht="17.25">
      <c r="A84" s="41" t="s">
        <v>144</v>
      </c>
      <c r="B84" s="67" t="s">
        <v>145</v>
      </c>
      <c r="C84" s="68">
        <v>0.19</v>
      </c>
      <c r="D84" s="69">
        <v>140000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6">
        <v>84000</v>
      </c>
      <c r="P84" s="46">
        <v>56000</v>
      </c>
      <c r="R84" s="45"/>
      <c r="S84" s="45"/>
      <c r="T84" s="45"/>
      <c r="U84" s="45"/>
      <c r="V84" s="45"/>
      <c r="W84" s="45"/>
      <c r="X84" s="45"/>
      <c r="Y84" s="45"/>
      <c r="Z84" s="47"/>
      <c r="AA84" s="26"/>
      <c r="AB84" s="27"/>
    </row>
    <row r="85" spans="1:28" ht="17.25">
      <c r="A85" s="41" t="s">
        <v>146</v>
      </c>
      <c r="B85" s="67" t="s">
        <v>147</v>
      </c>
      <c r="C85" s="68">
        <v>0.24</v>
      </c>
      <c r="D85" s="69">
        <v>175000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>
        <v>175000</v>
      </c>
      <c r="Q85" s="45"/>
      <c r="R85" s="45"/>
      <c r="S85" s="45"/>
      <c r="T85" s="45"/>
      <c r="U85" s="45"/>
      <c r="V85" s="45"/>
      <c r="W85" s="45"/>
      <c r="X85" s="45"/>
      <c r="Y85" s="45"/>
      <c r="Z85" s="47"/>
      <c r="AA85" s="26"/>
      <c r="AB85" s="27"/>
    </row>
    <row r="86" spans="1:28" ht="17.25">
      <c r="A86" s="41" t="s">
        <v>148</v>
      </c>
      <c r="B86" s="67" t="s">
        <v>149</v>
      </c>
      <c r="C86" s="68">
        <v>0.14</v>
      </c>
      <c r="D86" s="69">
        <v>100000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>
        <v>100000</v>
      </c>
      <c r="Q86" s="45"/>
      <c r="R86" s="45"/>
      <c r="S86" s="45"/>
      <c r="T86" s="45"/>
      <c r="U86" s="45"/>
      <c r="V86" s="45"/>
      <c r="W86" s="45"/>
      <c r="X86" s="45"/>
      <c r="Y86" s="45"/>
      <c r="Z86" s="47"/>
      <c r="AA86" s="26"/>
      <c r="AB86" s="27"/>
    </row>
    <row r="87" spans="1:28" ht="17.25">
      <c r="A87" s="41" t="s">
        <v>150</v>
      </c>
      <c r="B87" s="67" t="s">
        <v>151</v>
      </c>
      <c r="C87" s="68">
        <v>0.05</v>
      </c>
      <c r="D87" s="69">
        <v>37975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6">
        <v>30380</v>
      </c>
      <c r="R87" s="45"/>
      <c r="S87" s="46">
        <v>7595</v>
      </c>
      <c r="T87" s="45"/>
      <c r="U87" s="45"/>
      <c r="V87" s="45"/>
      <c r="W87" s="45"/>
      <c r="X87" s="45"/>
      <c r="Y87" s="45"/>
      <c r="Z87" s="47"/>
      <c r="AA87" s="26"/>
      <c r="AB87" s="27"/>
    </row>
    <row r="88" spans="1:28" ht="17.25">
      <c r="A88" s="41" t="s">
        <v>152</v>
      </c>
      <c r="B88" s="67" t="s">
        <v>153</v>
      </c>
      <c r="C88" s="68">
        <v>0.03</v>
      </c>
      <c r="D88" s="69">
        <v>25000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>
        <v>20000</v>
      </c>
      <c r="Q88" s="45"/>
      <c r="R88" s="45"/>
      <c r="S88" s="46">
        <v>5000</v>
      </c>
      <c r="T88" s="45"/>
      <c r="U88" s="45"/>
      <c r="V88" s="45"/>
      <c r="W88" s="45"/>
      <c r="X88" s="45"/>
      <c r="Y88" s="45"/>
      <c r="Z88" s="47"/>
      <c r="AA88" s="26"/>
      <c r="AB88" s="27"/>
    </row>
    <row r="89" spans="1:28" ht="17.25">
      <c r="A89" s="35" t="s">
        <v>154</v>
      </c>
      <c r="B89" s="66" t="s">
        <v>155</v>
      </c>
      <c r="C89" s="61">
        <v>0.1</v>
      </c>
      <c r="D89" s="63">
        <v>291190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6">
        <v>104952</v>
      </c>
      <c r="R89" s="39"/>
      <c r="S89" s="46">
        <f>SUM(S90:S92)</f>
        <v>82238</v>
      </c>
      <c r="T89" s="39"/>
      <c r="U89" s="39"/>
      <c r="V89" s="39"/>
      <c r="W89" s="39"/>
      <c r="X89" s="39"/>
      <c r="Y89" s="39"/>
      <c r="Z89" s="40"/>
      <c r="AA89" s="26"/>
      <c r="AB89" s="27"/>
    </row>
    <row r="90" spans="1:28" ht="17.25">
      <c r="A90" s="41" t="s">
        <v>156</v>
      </c>
      <c r="B90" s="67" t="s">
        <v>157</v>
      </c>
      <c r="C90" s="68">
        <v>0.2445</v>
      </c>
      <c r="D90" s="69">
        <v>71190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6">
        <v>56952</v>
      </c>
      <c r="R90" s="45"/>
      <c r="S90" s="46">
        <v>14238</v>
      </c>
      <c r="T90" s="45"/>
      <c r="U90" s="45"/>
      <c r="V90" s="45"/>
      <c r="W90" s="45"/>
      <c r="X90" s="45"/>
      <c r="Y90" s="45"/>
      <c r="Z90" s="47"/>
      <c r="AA90" s="26"/>
      <c r="AB90" s="27"/>
    </row>
    <row r="91" spans="1:28" ht="17.25">
      <c r="A91" s="41" t="s">
        <v>158</v>
      </c>
      <c r="B91" s="67" t="s">
        <v>159</v>
      </c>
      <c r="C91" s="68">
        <v>0.4121</v>
      </c>
      <c r="D91" s="69">
        <v>120000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>
        <v>48000</v>
      </c>
      <c r="R91" s="45"/>
      <c r="S91" s="46">
        <v>48000</v>
      </c>
      <c r="T91" s="45"/>
      <c r="U91" s="45"/>
      <c r="V91" s="45"/>
      <c r="W91" s="45"/>
      <c r="X91" s="45"/>
      <c r="Y91" s="45"/>
      <c r="Z91" s="47"/>
      <c r="AA91" s="26"/>
      <c r="AB91" s="27"/>
    </row>
    <row r="92" spans="1:28" ht="33">
      <c r="A92" s="41" t="s">
        <v>160</v>
      </c>
      <c r="B92" s="67" t="s">
        <v>161</v>
      </c>
      <c r="C92" s="68">
        <v>0.3434</v>
      </c>
      <c r="D92" s="69">
        <v>100000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>
        <v>80000</v>
      </c>
      <c r="Q92" s="45"/>
      <c r="R92" s="45"/>
      <c r="S92" s="46">
        <v>20000</v>
      </c>
      <c r="T92" s="45"/>
      <c r="U92" s="45"/>
      <c r="V92" s="45"/>
      <c r="W92" s="45"/>
      <c r="X92" s="45"/>
      <c r="Y92" s="45"/>
      <c r="Z92" s="47"/>
      <c r="AA92" s="26"/>
      <c r="AB92" s="27"/>
    </row>
    <row r="93" spans="1:256" ht="33">
      <c r="A93" s="71">
        <v>3</v>
      </c>
      <c r="B93" s="64" t="s">
        <v>162</v>
      </c>
      <c r="C93" s="72">
        <v>0.53</v>
      </c>
      <c r="D93" s="73">
        <v>3858267.5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>
        <f>Q94+Q95+Q136+Q141</f>
        <v>659269.88</v>
      </c>
      <c r="R93" s="39">
        <f>R94+R136+R141</f>
        <v>334728</v>
      </c>
      <c r="S93" s="46">
        <f>S141</f>
        <v>102665.7</v>
      </c>
      <c r="T93" s="39"/>
      <c r="U93" s="39"/>
      <c r="V93" s="39"/>
      <c r="W93" s="39"/>
      <c r="X93" s="39"/>
      <c r="Y93" s="39"/>
      <c r="Z93" s="40"/>
      <c r="AA93" s="26"/>
      <c r="AB93" s="27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28" ht="16.5">
      <c r="A94" s="35" t="s">
        <v>71</v>
      </c>
      <c r="B94" s="66" t="s">
        <v>163</v>
      </c>
      <c r="C94" s="61">
        <v>0.1</v>
      </c>
      <c r="D94" s="74">
        <v>385826</v>
      </c>
      <c r="E94" s="39"/>
      <c r="F94" s="39"/>
      <c r="G94" s="39"/>
      <c r="H94" s="39"/>
      <c r="I94" s="39"/>
      <c r="J94" s="39"/>
      <c r="K94" s="39"/>
      <c r="L94" s="39"/>
      <c r="M94" s="39"/>
      <c r="N94" s="46">
        <v>154330.4</v>
      </c>
      <c r="O94" s="46">
        <v>77165.7</v>
      </c>
      <c r="P94" s="39"/>
      <c r="Q94" s="46">
        <v>77165.2</v>
      </c>
      <c r="R94" s="46">
        <v>77165.2</v>
      </c>
      <c r="S94" s="39"/>
      <c r="T94" s="39"/>
      <c r="U94" s="39"/>
      <c r="V94" s="39"/>
      <c r="W94" s="39"/>
      <c r="X94" s="39"/>
      <c r="Y94" s="39"/>
      <c r="Z94" s="40"/>
      <c r="AA94" s="26"/>
      <c r="AB94" s="27"/>
    </row>
    <row r="95" spans="1:28" ht="16.5">
      <c r="A95" s="35" t="s">
        <v>73</v>
      </c>
      <c r="B95" s="66" t="s">
        <v>164</v>
      </c>
      <c r="C95" s="61">
        <v>0.6</v>
      </c>
      <c r="D95" s="74">
        <v>2314960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6">
        <v>489448.68</v>
      </c>
      <c r="R95" s="39"/>
      <c r="S95" s="39"/>
      <c r="T95" s="39"/>
      <c r="U95" s="39"/>
      <c r="V95" s="39"/>
      <c r="W95" s="39"/>
      <c r="X95" s="39"/>
      <c r="Y95" s="39"/>
      <c r="Z95" s="40"/>
      <c r="AA95" s="26"/>
      <c r="AB95" s="27"/>
    </row>
    <row r="96" spans="1:28" ht="16.5">
      <c r="A96" s="41" t="s">
        <v>165</v>
      </c>
      <c r="B96" s="67" t="s">
        <v>166</v>
      </c>
      <c r="C96" s="68">
        <v>0.14</v>
      </c>
      <c r="D96" s="75">
        <f>+D95/7</f>
        <v>330708.5714285714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7"/>
      <c r="AA96" s="26"/>
      <c r="AB96" s="27"/>
    </row>
    <row r="97" spans="1:28" ht="16.5">
      <c r="A97" s="41" t="s">
        <v>167</v>
      </c>
      <c r="B97" s="67" t="s">
        <v>168</v>
      </c>
      <c r="C97" s="68">
        <v>0.1</v>
      </c>
      <c r="D97" s="75">
        <f>+D96-D98-D99-D100</f>
        <v>33070.861428571414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>
        <v>33070.86</v>
      </c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7"/>
      <c r="AA97" s="26"/>
      <c r="AB97" s="27"/>
    </row>
    <row r="98" spans="1:28" ht="16.5">
      <c r="A98" s="41" t="s">
        <v>169</v>
      </c>
      <c r="B98" s="67" t="s">
        <v>170</v>
      </c>
      <c r="C98" s="68">
        <v>0.3</v>
      </c>
      <c r="D98" s="75">
        <v>99212.57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>
        <v>99212.57</v>
      </c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7"/>
      <c r="AA98" s="26"/>
      <c r="AB98" s="27"/>
    </row>
    <row r="99" spans="1:28" ht="16.5">
      <c r="A99" s="41" t="s">
        <v>171</v>
      </c>
      <c r="B99" s="67" t="s">
        <v>172</v>
      </c>
      <c r="C99" s="68">
        <v>0.4</v>
      </c>
      <c r="D99" s="75">
        <v>132283.43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>
        <v>132283.43</v>
      </c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7"/>
      <c r="AA99" s="26"/>
      <c r="AB99" s="27"/>
    </row>
    <row r="100" spans="1:28" ht="16.5">
      <c r="A100" s="41" t="s">
        <v>173</v>
      </c>
      <c r="B100" s="67" t="s">
        <v>174</v>
      </c>
      <c r="C100" s="68">
        <v>0.2</v>
      </c>
      <c r="D100" s="75">
        <v>66141.71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  <c r="P100" s="46">
        <v>66141.71</v>
      </c>
      <c r="Q100" s="45"/>
      <c r="R100" s="45"/>
      <c r="S100" s="45"/>
      <c r="T100" s="45"/>
      <c r="U100" s="45"/>
      <c r="V100" s="45"/>
      <c r="W100" s="45"/>
      <c r="X100" s="45"/>
      <c r="Y100" s="45"/>
      <c r="Z100" s="47"/>
      <c r="AA100" s="26"/>
      <c r="AB100" s="27"/>
    </row>
    <row r="101" spans="1:28" ht="16.5">
      <c r="A101" s="41" t="s">
        <v>175</v>
      </c>
      <c r="B101" s="67" t="s">
        <v>176</v>
      </c>
      <c r="C101" s="68">
        <v>0.14</v>
      </c>
      <c r="D101" s="75">
        <f>+D96</f>
        <v>330708.5714285714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6">
        <v>145511.77</v>
      </c>
      <c r="R101" s="45"/>
      <c r="S101" s="45"/>
      <c r="T101" s="45"/>
      <c r="U101" s="45"/>
      <c r="V101" s="45"/>
      <c r="W101" s="45"/>
      <c r="X101" s="45"/>
      <c r="Y101" s="45"/>
      <c r="Z101" s="47"/>
      <c r="AA101" s="26"/>
      <c r="AB101" s="27"/>
    </row>
    <row r="102" spans="1:28" ht="16.5">
      <c r="A102" s="41" t="s">
        <v>177</v>
      </c>
      <c r="B102" s="67" t="s">
        <v>168</v>
      </c>
      <c r="C102" s="68">
        <v>0.1</v>
      </c>
      <c r="D102" s="75">
        <f>+D101-D103-D104-D105</f>
        <v>33070.861428571414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>
        <v>33070.86</v>
      </c>
      <c r="R102" s="45"/>
      <c r="S102" s="45"/>
      <c r="T102" s="45"/>
      <c r="U102" s="45"/>
      <c r="V102" s="45"/>
      <c r="W102" s="45"/>
      <c r="X102" s="45"/>
      <c r="Y102" s="45"/>
      <c r="Z102" s="47"/>
      <c r="AA102" s="26"/>
      <c r="AB102" s="27"/>
    </row>
    <row r="103" spans="1:28" ht="16.5">
      <c r="A103" s="41" t="s">
        <v>178</v>
      </c>
      <c r="B103" s="67" t="s">
        <v>170</v>
      </c>
      <c r="C103" s="68">
        <v>0.3</v>
      </c>
      <c r="D103" s="75">
        <v>99212.57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>
        <v>99212.27</v>
      </c>
      <c r="R103" s="45"/>
      <c r="S103" s="45"/>
      <c r="T103" s="45"/>
      <c r="U103" s="45"/>
      <c r="V103" s="45"/>
      <c r="W103" s="45"/>
      <c r="X103" s="45"/>
      <c r="Y103" s="45"/>
      <c r="Z103" s="47"/>
      <c r="AA103" s="26"/>
      <c r="AB103" s="27"/>
    </row>
    <row r="104" spans="1:28" ht="16.5">
      <c r="A104" s="41" t="s">
        <v>179</v>
      </c>
      <c r="B104" s="67" t="s">
        <v>172</v>
      </c>
      <c r="C104" s="68">
        <v>0.4</v>
      </c>
      <c r="D104" s="75">
        <v>132283.43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>
        <v>52913.37</v>
      </c>
      <c r="Q104" s="46">
        <f>132283.43-P104</f>
        <v>79370.06</v>
      </c>
      <c r="R104" s="45"/>
      <c r="S104" s="45"/>
      <c r="T104" s="45"/>
      <c r="U104" s="45"/>
      <c r="V104" s="45"/>
      <c r="W104" s="45"/>
      <c r="X104" s="45"/>
      <c r="Y104" s="45"/>
      <c r="Z104" s="47"/>
      <c r="AA104" s="26"/>
      <c r="AB104" s="27"/>
    </row>
    <row r="105" spans="1:28" ht="16.5">
      <c r="A105" s="41" t="s">
        <v>180</v>
      </c>
      <c r="B105" s="67" t="s">
        <v>174</v>
      </c>
      <c r="C105" s="68">
        <v>0.2</v>
      </c>
      <c r="D105" s="75">
        <v>66141.71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6">
        <v>66141.71</v>
      </c>
      <c r="R105" s="45"/>
      <c r="S105" s="45"/>
      <c r="T105" s="45"/>
      <c r="U105" s="45"/>
      <c r="V105" s="45"/>
      <c r="W105" s="45"/>
      <c r="X105" s="45"/>
      <c r="Y105" s="45"/>
      <c r="Z105" s="47"/>
      <c r="AA105" s="26"/>
      <c r="AB105" s="27"/>
    </row>
    <row r="106" spans="1:28" ht="16.5">
      <c r="A106" s="41" t="s">
        <v>181</v>
      </c>
      <c r="B106" s="67" t="s">
        <v>182</v>
      </c>
      <c r="C106" s="68">
        <v>0.14</v>
      </c>
      <c r="D106" s="75">
        <f>+D101</f>
        <v>330708.5714285714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6">
        <v>79370.06</v>
      </c>
      <c r="R106" s="45"/>
      <c r="S106" s="45"/>
      <c r="T106" s="45"/>
      <c r="U106" s="45"/>
      <c r="V106" s="45"/>
      <c r="W106" s="45"/>
      <c r="X106" s="45"/>
      <c r="Y106" s="45"/>
      <c r="Z106" s="47"/>
      <c r="AA106" s="26"/>
      <c r="AB106" s="27"/>
    </row>
    <row r="107" spans="1:28" ht="16.5">
      <c r="A107" s="41" t="s">
        <v>183</v>
      </c>
      <c r="B107" s="67" t="s">
        <v>168</v>
      </c>
      <c r="C107" s="68">
        <v>0.1</v>
      </c>
      <c r="D107" s="75">
        <f>+D106-D108-D109-D110</f>
        <v>33070.861428571414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>
        <v>33070.86</v>
      </c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7"/>
      <c r="AA107" s="26"/>
      <c r="AB107" s="27"/>
    </row>
    <row r="108" spans="1:28" ht="16.5">
      <c r="A108" s="41" t="s">
        <v>184</v>
      </c>
      <c r="B108" s="67" t="s">
        <v>170</v>
      </c>
      <c r="C108" s="68">
        <v>0.3</v>
      </c>
      <c r="D108" s="75">
        <v>99212.57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>
        <v>99212.57</v>
      </c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7"/>
      <c r="AA108" s="26"/>
      <c r="AB108" s="27"/>
    </row>
    <row r="109" spans="1:28" ht="16.5">
      <c r="A109" s="41" t="s">
        <v>185</v>
      </c>
      <c r="B109" s="67" t="s">
        <v>172</v>
      </c>
      <c r="C109" s="68">
        <v>0.4</v>
      </c>
      <c r="D109" s="75">
        <v>132283.43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>
        <v>52913.37</v>
      </c>
      <c r="Q109" s="46">
        <v>79370.06</v>
      </c>
      <c r="R109" s="45"/>
      <c r="S109" s="45"/>
      <c r="T109" s="45"/>
      <c r="U109" s="45"/>
      <c r="V109" s="45"/>
      <c r="W109" s="45"/>
      <c r="X109" s="45"/>
      <c r="Y109" s="45"/>
      <c r="Z109" s="47"/>
      <c r="AA109" s="26"/>
      <c r="AB109" s="27"/>
    </row>
    <row r="110" spans="1:28" ht="16.5">
      <c r="A110" s="41" t="s">
        <v>186</v>
      </c>
      <c r="B110" s="67" t="s">
        <v>174</v>
      </c>
      <c r="C110" s="68">
        <v>0.2</v>
      </c>
      <c r="D110" s="75">
        <v>66141.71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  <c r="P110" s="46">
        <v>66141.72</v>
      </c>
      <c r="R110" s="45"/>
      <c r="S110" s="45"/>
      <c r="T110" s="45"/>
      <c r="U110" s="45"/>
      <c r="V110" s="45"/>
      <c r="W110" s="45"/>
      <c r="X110" s="45"/>
      <c r="Y110" s="45"/>
      <c r="Z110" s="47"/>
      <c r="AA110" s="26"/>
      <c r="AB110" s="27"/>
    </row>
    <row r="111" spans="1:28" ht="16.5">
      <c r="A111" s="41" t="s">
        <v>187</v>
      </c>
      <c r="B111" s="67" t="s">
        <v>188</v>
      </c>
      <c r="C111" s="68">
        <v>0.14</v>
      </c>
      <c r="D111" s="75">
        <f>+D106</f>
        <v>330708.5714285714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6">
        <v>198425.14</v>
      </c>
      <c r="R111" s="45"/>
      <c r="S111" s="45"/>
      <c r="T111" s="45"/>
      <c r="U111" s="45"/>
      <c r="V111" s="45"/>
      <c r="W111" s="45"/>
      <c r="X111" s="45"/>
      <c r="Y111" s="45"/>
      <c r="Z111" s="47"/>
      <c r="AA111" s="26"/>
      <c r="AB111" s="27"/>
    </row>
    <row r="112" spans="1:28" ht="16.5">
      <c r="A112" s="41" t="s">
        <v>189</v>
      </c>
      <c r="B112" s="67" t="s">
        <v>168</v>
      </c>
      <c r="C112" s="68">
        <v>0.1</v>
      </c>
      <c r="D112" s="75">
        <f>+D111-D113-D114-D115</f>
        <v>33070.861428571414</v>
      </c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6">
        <v>33070.86</v>
      </c>
      <c r="Q112" s="76"/>
      <c r="R112" s="45"/>
      <c r="S112" s="45"/>
      <c r="T112" s="45"/>
      <c r="U112" s="45"/>
      <c r="V112" s="45"/>
      <c r="W112" s="45"/>
      <c r="X112" s="45"/>
      <c r="Y112" s="45"/>
      <c r="Z112" s="47"/>
      <c r="AA112" s="26"/>
      <c r="AB112" s="27"/>
    </row>
    <row r="113" spans="1:28" ht="16.5">
      <c r="A113" s="41" t="s">
        <v>190</v>
      </c>
      <c r="B113" s="67" t="s">
        <v>170</v>
      </c>
      <c r="C113" s="68">
        <v>0.3</v>
      </c>
      <c r="D113" s="75">
        <v>99212.57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6">
        <v>99212.57</v>
      </c>
      <c r="Q113" s="76"/>
      <c r="R113" s="45"/>
      <c r="S113" s="45"/>
      <c r="T113" s="45"/>
      <c r="U113" s="45"/>
      <c r="V113" s="45"/>
      <c r="W113" s="45"/>
      <c r="X113" s="45"/>
      <c r="Y113" s="45"/>
      <c r="Z113" s="47"/>
      <c r="AA113" s="26"/>
      <c r="AB113" s="27"/>
    </row>
    <row r="114" spans="1:28" ht="16.5">
      <c r="A114" s="41" t="s">
        <v>191</v>
      </c>
      <c r="B114" s="67" t="s">
        <v>172</v>
      </c>
      <c r="C114" s="68">
        <v>0.4</v>
      </c>
      <c r="D114" s="75">
        <v>132283.43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6">
        <v>132238.43</v>
      </c>
      <c r="R114" s="45"/>
      <c r="S114" s="45"/>
      <c r="T114" s="45"/>
      <c r="U114" s="45"/>
      <c r="V114" s="45"/>
      <c r="W114" s="45"/>
      <c r="X114" s="45"/>
      <c r="Y114" s="45"/>
      <c r="Z114" s="47"/>
      <c r="AA114" s="26"/>
      <c r="AB114" s="27"/>
    </row>
    <row r="115" spans="1:28" ht="16.5">
      <c r="A115" s="41" t="s">
        <v>192</v>
      </c>
      <c r="B115" s="67" t="s">
        <v>174</v>
      </c>
      <c r="C115" s="68">
        <v>0.2</v>
      </c>
      <c r="D115" s="75">
        <v>66141.71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>
        <v>66141.71</v>
      </c>
      <c r="R115" s="45"/>
      <c r="S115" s="45"/>
      <c r="T115" s="45"/>
      <c r="U115" s="45"/>
      <c r="V115" s="45"/>
      <c r="W115" s="45"/>
      <c r="X115" s="45"/>
      <c r="Y115" s="45"/>
      <c r="Z115" s="47"/>
      <c r="AA115" s="26"/>
      <c r="AB115" s="27"/>
    </row>
    <row r="116" spans="1:28" ht="16.5">
      <c r="A116" s="41" t="s">
        <v>193</v>
      </c>
      <c r="B116" s="67" t="s">
        <v>194</v>
      </c>
      <c r="C116" s="68">
        <v>0.14</v>
      </c>
      <c r="D116" s="75">
        <f>+D111</f>
        <v>330708.5714285714</v>
      </c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7"/>
      <c r="AA116" s="26"/>
      <c r="AB116" s="27"/>
    </row>
    <row r="117" spans="1:28" ht="16.5">
      <c r="A117" s="41" t="s">
        <v>195</v>
      </c>
      <c r="B117" s="67" t="s">
        <v>168</v>
      </c>
      <c r="C117" s="68">
        <v>0.1</v>
      </c>
      <c r="D117" s="75">
        <f>+D116-D118-D119-D120</f>
        <v>33070.861428571414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6">
        <v>33070.86</v>
      </c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7"/>
      <c r="AA117" s="26"/>
      <c r="AB117" s="27"/>
    </row>
    <row r="118" spans="1:28" ht="16.5">
      <c r="A118" s="41" t="s">
        <v>196</v>
      </c>
      <c r="B118" s="67" t="s">
        <v>170</v>
      </c>
      <c r="C118" s="68">
        <v>0.3</v>
      </c>
      <c r="D118" s="75">
        <v>99212.57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6">
        <v>99212.57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7"/>
      <c r="AA118" s="26"/>
      <c r="AB118" s="27"/>
    </row>
    <row r="119" spans="1:28" ht="16.5">
      <c r="A119" s="41" t="s">
        <v>197</v>
      </c>
      <c r="B119" s="67" t="s">
        <v>172</v>
      </c>
      <c r="C119" s="68">
        <v>0.4</v>
      </c>
      <c r="D119" s="75">
        <v>132283.43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6">
        <v>79370.06</v>
      </c>
      <c r="O119" s="46">
        <v>52913.37</v>
      </c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7"/>
      <c r="AA119" s="26"/>
      <c r="AB119" s="27"/>
    </row>
    <row r="120" spans="1:28" ht="16.5">
      <c r="A120" s="41" t="s">
        <v>198</v>
      </c>
      <c r="B120" s="67" t="s">
        <v>174</v>
      </c>
      <c r="C120" s="68">
        <v>0.2</v>
      </c>
      <c r="D120" s="75">
        <v>66141.71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6"/>
      <c r="O120" s="46">
        <v>66141.71</v>
      </c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7"/>
      <c r="AA120" s="26"/>
      <c r="AB120" s="27"/>
    </row>
    <row r="121" spans="1:28" ht="16.5">
      <c r="A121" s="41" t="s">
        <v>199</v>
      </c>
      <c r="B121" s="67" t="s">
        <v>200</v>
      </c>
      <c r="C121" s="68">
        <v>0.14</v>
      </c>
      <c r="D121" s="75">
        <f>+D116</f>
        <v>330708.5714285714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6">
        <v>66141.71</v>
      </c>
      <c r="R121" s="45"/>
      <c r="S121" s="45"/>
      <c r="T121" s="45"/>
      <c r="U121" s="45"/>
      <c r="V121" s="45"/>
      <c r="W121" s="45"/>
      <c r="X121" s="45"/>
      <c r="Y121" s="45"/>
      <c r="Z121" s="47"/>
      <c r="AA121" s="26"/>
      <c r="AB121" s="27"/>
    </row>
    <row r="122" spans="1:28" ht="16.5">
      <c r="A122" s="41" t="s">
        <v>201</v>
      </c>
      <c r="B122" s="67" t="s">
        <v>168</v>
      </c>
      <c r="C122" s="68">
        <v>0.1</v>
      </c>
      <c r="D122" s="75">
        <f>+D121-D123-D124-D125</f>
        <v>33070.861428571414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6">
        <v>33070.86</v>
      </c>
      <c r="Q122" s="45"/>
      <c r="R122" s="45"/>
      <c r="S122" s="45"/>
      <c r="T122" s="45"/>
      <c r="U122" s="45"/>
      <c r="V122" s="45"/>
      <c r="W122" s="45"/>
      <c r="X122" s="45"/>
      <c r="Y122" s="45"/>
      <c r="Z122" s="47"/>
      <c r="AA122" s="26"/>
      <c r="AB122" s="27"/>
    </row>
    <row r="123" spans="1:28" ht="16.5">
      <c r="A123" s="41" t="s">
        <v>202</v>
      </c>
      <c r="B123" s="67" t="s">
        <v>170</v>
      </c>
      <c r="C123" s="68">
        <v>0.3</v>
      </c>
      <c r="D123" s="75">
        <v>99212.57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6">
        <v>99212.57</v>
      </c>
      <c r="Q123" s="76"/>
      <c r="R123" s="45"/>
      <c r="S123" s="45"/>
      <c r="T123" s="45"/>
      <c r="U123" s="45"/>
      <c r="V123" s="45"/>
      <c r="W123" s="45"/>
      <c r="X123" s="45"/>
      <c r="Y123" s="45"/>
      <c r="Z123" s="47"/>
      <c r="AA123" s="26"/>
      <c r="AB123" s="27"/>
    </row>
    <row r="124" spans="1:28" ht="16.5">
      <c r="A124" s="41" t="s">
        <v>203</v>
      </c>
      <c r="B124" s="67" t="s">
        <v>172</v>
      </c>
      <c r="C124" s="68">
        <v>0.4</v>
      </c>
      <c r="D124" s="75">
        <v>132283.43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6">
        <v>132283.43</v>
      </c>
      <c r="Q124" s="76"/>
      <c r="R124" s="45"/>
      <c r="S124" s="45"/>
      <c r="T124" s="45"/>
      <c r="U124" s="45"/>
      <c r="V124" s="45"/>
      <c r="W124" s="45"/>
      <c r="X124" s="45"/>
      <c r="Y124" s="45"/>
      <c r="Z124" s="47"/>
      <c r="AA124" s="26"/>
      <c r="AB124" s="27"/>
    </row>
    <row r="125" spans="1:28" ht="16.5">
      <c r="A125" s="41" t="s">
        <v>204</v>
      </c>
      <c r="B125" s="67" t="s">
        <v>174</v>
      </c>
      <c r="C125" s="68">
        <v>0.2</v>
      </c>
      <c r="D125" s="75">
        <v>66141.71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6"/>
      <c r="Q125" s="46">
        <v>66141.71</v>
      </c>
      <c r="R125" s="45"/>
      <c r="S125" s="45"/>
      <c r="T125" s="45"/>
      <c r="U125" s="45"/>
      <c r="V125" s="45"/>
      <c r="W125" s="45"/>
      <c r="X125" s="45"/>
      <c r="Y125" s="45"/>
      <c r="Z125" s="47"/>
      <c r="AA125" s="26"/>
      <c r="AB125" s="27"/>
    </row>
    <row r="126" spans="1:28" ht="16.5">
      <c r="A126" s="41" t="s">
        <v>205</v>
      </c>
      <c r="B126" s="67" t="s">
        <v>206</v>
      </c>
      <c r="C126" s="68">
        <v>0.14</v>
      </c>
      <c r="D126" s="75">
        <f>+D121</f>
        <v>330708.5714285714</v>
      </c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7"/>
      <c r="AA126" s="26"/>
      <c r="AB126" s="27"/>
    </row>
    <row r="127" spans="1:28" ht="16.5">
      <c r="A127" s="41" t="s">
        <v>207</v>
      </c>
      <c r="B127" s="67" t="s">
        <v>168</v>
      </c>
      <c r="C127" s="68">
        <v>0.1</v>
      </c>
      <c r="D127" s="75">
        <f>+D126-D128-D129-D130</f>
        <v>33070.861428571414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6">
        <v>33070.87</v>
      </c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7"/>
      <c r="AA127" s="26"/>
      <c r="AB127" s="27"/>
    </row>
    <row r="128" spans="1:28" ht="16.5">
      <c r="A128" s="41" t="s">
        <v>208</v>
      </c>
      <c r="B128" s="67" t="s">
        <v>170</v>
      </c>
      <c r="C128" s="68">
        <v>0.3</v>
      </c>
      <c r="D128" s="75">
        <v>99212.57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6">
        <v>44646.15</v>
      </c>
      <c r="O128" s="46">
        <v>54566.42</v>
      </c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7"/>
      <c r="AA128" s="26"/>
      <c r="AB128" s="27"/>
    </row>
    <row r="129" spans="1:28" ht="16.5">
      <c r="A129" s="41" t="s">
        <v>209</v>
      </c>
      <c r="B129" s="67" t="s">
        <v>172</v>
      </c>
      <c r="C129" s="68">
        <v>0.4</v>
      </c>
      <c r="D129" s="75">
        <v>132283.43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6"/>
      <c r="O129" s="46">
        <v>132283.43</v>
      </c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7"/>
      <c r="AA129" s="26"/>
      <c r="AB129" s="27"/>
    </row>
    <row r="130" spans="1:28" ht="16.5">
      <c r="A130" s="41" t="s">
        <v>210</v>
      </c>
      <c r="B130" s="67" t="s">
        <v>174</v>
      </c>
      <c r="C130" s="68">
        <v>0.2</v>
      </c>
      <c r="D130" s="75">
        <v>66141.71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6"/>
      <c r="O130" s="46">
        <v>66141.71</v>
      </c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7"/>
      <c r="AA130" s="26"/>
      <c r="AB130" s="27"/>
    </row>
    <row r="131" spans="1:28" ht="16.5">
      <c r="A131" s="35" t="s">
        <v>211</v>
      </c>
      <c r="B131" s="66" t="s">
        <v>212</v>
      </c>
      <c r="C131" s="61">
        <v>0.15</v>
      </c>
      <c r="D131" s="60">
        <v>578740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/>
      <c r="AA131" s="26"/>
      <c r="AB131" s="27"/>
    </row>
    <row r="132" spans="1:28" ht="16.5">
      <c r="A132" s="41" t="s">
        <v>213</v>
      </c>
      <c r="B132" s="67" t="s">
        <v>214</v>
      </c>
      <c r="C132" s="68">
        <v>0.1</v>
      </c>
      <c r="D132" s="75">
        <v>57874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6">
        <v>57874</v>
      </c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7"/>
      <c r="AA132" s="26"/>
      <c r="AB132" s="27"/>
    </row>
    <row r="133" spans="1:28" ht="16.5">
      <c r="A133" s="41" t="s">
        <v>215</v>
      </c>
      <c r="B133" s="67" t="s">
        <v>170</v>
      </c>
      <c r="C133" s="68">
        <v>0.3</v>
      </c>
      <c r="D133" s="75">
        <v>173622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6">
        <v>173622</v>
      </c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7"/>
      <c r="AA133" s="26"/>
      <c r="AB133" s="27"/>
    </row>
    <row r="134" spans="1:28" ht="16.5">
      <c r="A134" s="41" t="s">
        <v>216</v>
      </c>
      <c r="B134" s="67" t="s">
        <v>217</v>
      </c>
      <c r="C134" s="68">
        <v>0.3</v>
      </c>
      <c r="D134" s="75">
        <v>173622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6"/>
      <c r="O134" s="46">
        <v>173622</v>
      </c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7"/>
      <c r="AA134" s="26"/>
      <c r="AB134" s="27"/>
    </row>
    <row r="135" spans="1:28" ht="16.5">
      <c r="A135" s="41" t="s">
        <v>218</v>
      </c>
      <c r="B135" s="67" t="s">
        <v>219</v>
      </c>
      <c r="C135" s="68">
        <v>0.3</v>
      </c>
      <c r="D135" s="75">
        <v>173622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6"/>
      <c r="O135" s="46">
        <v>173622</v>
      </c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7"/>
      <c r="AA135" s="26"/>
      <c r="AB135" s="27"/>
    </row>
    <row r="136" spans="1:28" ht="33">
      <c r="A136" s="35" t="s">
        <v>220</v>
      </c>
      <c r="B136" s="66" t="s">
        <v>221</v>
      </c>
      <c r="C136" s="61">
        <v>0.05</v>
      </c>
      <c r="D136" s="74">
        <v>192913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46">
        <v>90456</v>
      </c>
      <c r="R136" s="46">
        <f>R140</f>
        <v>6000</v>
      </c>
      <c r="S136" s="39"/>
      <c r="T136" s="39"/>
      <c r="U136" s="39"/>
      <c r="V136" s="39"/>
      <c r="W136" s="39"/>
      <c r="X136" s="39"/>
      <c r="Y136" s="39"/>
      <c r="Z136" s="40"/>
      <c r="AA136" s="26"/>
      <c r="AB136" s="27"/>
    </row>
    <row r="137" spans="1:28" ht="33">
      <c r="A137" s="41" t="s">
        <v>222</v>
      </c>
      <c r="B137" s="77" t="s">
        <v>223</v>
      </c>
      <c r="C137" s="68">
        <v>0.5</v>
      </c>
      <c r="D137" s="75">
        <v>96456.5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6">
        <v>96456.5</v>
      </c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7"/>
      <c r="AA137" s="26"/>
      <c r="AB137" s="27"/>
    </row>
    <row r="138" spans="1:28" ht="16.5">
      <c r="A138" s="41" t="s">
        <v>224</v>
      </c>
      <c r="B138" s="77" t="s">
        <v>225</v>
      </c>
      <c r="C138" s="68">
        <v>0.3</v>
      </c>
      <c r="D138" s="75">
        <v>62500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Q138" s="46">
        <v>62500</v>
      </c>
      <c r="R138" s="45"/>
      <c r="S138" s="45"/>
      <c r="T138" s="45"/>
      <c r="U138" s="45"/>
      <c r="V138" s="45"/>
      <c r="W138" s="45"/>
      <c r="X138" s="45"/>
      <c r="Y138" s="45"/>
      <c r="Z138" s="47"/>
      <c r="AA138" s="26"/>
      <c r="AB138" s="27"/>
    </row>
    <row r="139" spans="1:28" ht="16.5">
      <c r="A139" s="41" t="s">
        <v>226</v>
      </c>
      <c r="B139" s="77" t="s">
        <v>227</v>
      </c>
      <c r="C139" s="68">
        <v>0.0445</v>
      </c>
      <c r="D139" s="75">
        <v>18956.5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6">
        <v>18956</v>
      </c>
      <c r="R139" s="45"/>
      <c r="S139" s="45"/>
      <c r="T139" s="45"/>
      <c r="U139" s="45"/>
      <c r="V139" s="45"/>
      <c r="W139" s="45"/>
      <c r="X139" s="45"/>
      <c r="Y139" s="45"/>
      <c r="Z139" s="47"/>
      <c r="AA139" s="26"/>
      <c r="AB139" s="27"/>
    </row>
    <row r="140" spans="1:28" ht="33">
      <c r="A140" s="41" t="s">
        <v>228</v>
      </c>
      <c r="B140" s="77" t="s">
        <v>229</v>
      </c>
      <c r="C140" s="68">
        <v>0.0518</v>
      </c>
      <c r="D140" s="75">
        <v>15000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6">
        <v>9000</v>
      </c>
      <c r="R140" s="46">
        <v>6000</v>
      </c>
      <c r="S140" s="45"/>
      <c r="T140" s="45"/>
      <c r="U140" s="45"/>
      <c r="V140" s="45"/>
      <c r="W140" s="45"/>
      <c r="X140" s="45"/>
      <c r="Y140" s="45"/>
      <c r="Z140" s="47"/>
      <c r="AA140" s="26"/>
      <c r="AB140" s="27"/>
    </row>
    <row r="141" spans="1:28" ht="16.5">
      <c r="A141" s="78" t="s">
        <v>230</v>
      </c>
      <c r="B141" s="53" t="s">
        <v>231</v>
      </c>
      <c r="C141" s="61">
        <v>0.1</v>
      </c>
      <c r="D141" s="74">
        <v>385828.5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46">
        <f>Q142</f>
        <v>2200</v>
      </c>
      <c r="R141" s="46">
        <f>SUM(R142:R159)-R155-R156</f>
        <v>251562.8</v>
      </c>
      <c r="S141" s="46">
        <f>SUM(S142:S159)</f>
        <v>102665.7</v>
      </c>
      <c r="T141" s="39"/>
      <c r="U141" s="39"/>
      <c r="V141" s="39"/>
      <c r="W141" s="39"/>
      <c r="X141" s="39"/>
      <c r="Y141" s="39"/>
      <c r="Z141" s="40"/>
      <c r="AA141" s="26"/>
      <c r="AB141" s="27"/>
    </row>
    <row r="142" spans="1:28" ht="16.5">
      <c r="A142" s="79" t="s">
        <v>232</v>
      </c>
      <c r="B142" s="80" t="s">
        <v>233</v>
      </c>
      <c r="C142" s="68">
        <v>0.0285</v>
      </c>
      <c r="D142" s="75">
        <v>11000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6">
        <v>2200</v>
      </c>
      <c r="R142" s="46">
        <v>8800</v>
      </c>
      <c r="S142" s="45"/>
      <c r="T142" s="45"/>
      <c r="U142" s="45"/>
      <c r="V142" s="45"/>
      <c r="W142" s="45"/>
      <c r="X142" s="45"/>
      <c r="Y142" s="45"/>
      <c r="Z142" s="47"/>
      <c r="AA142" s="26"/>
      <c r="AB142" s="27"/>
    </row>
    <row r="143" spans="1:28" ht="15.75" customHeight="1">
      <c r="A143" s="79" t="s">
        <v>234</v>
      </c>
      <c r="B143" s="80" t="s">
        <v>235</v>
      </c>
      <c r="C143" s="68">
        <v>0.0181</v>
      </c>
      <c r="D143" s="75">
        <v>7000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6">
        <v>7000</v>
      </c>
      <c r="T143" s="45"/>
      <c r="U143" s="45"/>
      <c r="V143" s="45"/>
      <c r="W143" s="45"/>
      <c r="X143" s="45"/>
      <c r="Y143" s="45"/>
      <c r="Z143" s="47"/>
      <c r="AA143" s="26"/>
      <c r="AB143" s="27"/>
    </row>
    <row r="144" spans="1:28" ht="33">
      <c r="A144" s="79" t="s">
        <v>236</v>
      </c>
      <c r="B144" s="80" t="s">
        <v>237</v>
      </c>
      <c r="C144" s="68">
        <v>0.0648</v>
      </c>
      <c r="D144" s="75">
        <v>25000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>
        <v>25000</v>
      </c>
      <c r="R144" s="45"/>
      <c r="S144" s="45"/>
      <c r="T144" s="45"/>
      <c r="U144" s="45"/>
      <c r="V144" s="45"/>
      <c r="W144" s="45"/>
      <c r="X144" s="45"/>
      <c r="Y144" s="45"/>
      <c r="Z144" s="47"/>
      <c r="AA144" s="26"/>
      <c r="AB144" s="27"/>
    </row>
    <row r="145" spans="1:28" ht="33">
      <c r="A145" s="79" t="s">
        <v>238</v>
      </c>
      <c r="B145" s="80" t="s">
        <v>239</v>
      </c>
      <c r="C145" s="68">
        <v>0.0285</v>
      </c>
      <c r="D145" s="75">
        <v>11000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>
        <v>4400</v>
      </c>
      <c r="Q145" s="45"/>
      <c r="R145" s="45"/>
      <c r="S145" s="46">
        <v>6600</v>
      </c>
      <c r="T145" s="45"/>
      <c r="U145" s="45"/>
      <c r="V145" s="45"/>
      <c r="W145" s="45"/>
      <c r="X145" s="45"/>
      <c r="Y145" s="45"/>
      <c r="Z145" s="47"/>
      <c r="AA145" s="26"/>
      <c r="AB145" s="27"/>
    </row>
    <row r="146" spans="1:28" ht="16.5">
      <c r="A146" s="79" t="s">
        <v>240</v>
      </c>
      <c r="B146" s="80" t="s">
        <v>241</v>
      </c>
      <c r="C146" s="68">
        <v>0.0363</v>
      </c>
      <c r="D146" s="75">
        <v>14000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6">
        <v>14000</v>
      </c>
      <c r="T146" s="45"/>
      <c r="U146" s="45"/>
      <c r="V146" s="45"/>
      <c r="W146" s="45"/>
      <c r="X146" s="45"/>
      <c r="Y146" s="45"/>
      <c r="Z146" s="47"/>
      <c r="AA146" s="26"/>
      <c r="AB146" s="27"/>
    </row>
    <row r="147" spans="1:28" ht="33">
      <c r="A147" s="79" t="s">
        <v>242</v>
      </c>
      <c r="B147" s="80" t="s">
        <v>243</v>
      </c>
      <c r="C147" s="68">
        <v>0.0726</v>
      </c>
      <c r="D147" s="75">
        <v>28000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6">
        <v>28000</v>
      </c>
      <c r="T147" s="45"/>
      <c r="U147" s="45"/>
      <c r="V147" s="45"/>
      <c r="W147" s="45"/>
      <c r="X147" s="45"/>
      <c r="Y147" s="45"/>
      <c r="Z147" s="47"/>
      <c r="AA147" s="26"/>
      <c r="AB147" s="27"/>
    </row>
    <row r="148" spans="1:28" ht="33">
      <c r="A148" s="79" t="s">
        <v>244</v>
      </c>
      <c r="B148" s="80" t="s">
        <v>245</v>
      </c>
      <c r="C148" s="68">
        <v>0.0311</v>
      </c>
      <c r="D148" s="75">
        <v>12000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6">
        <v>4800</v>
      </c>
      <c r="S148" s="46">
        <v>7200</v>
      </c>
      <c r="T148" s="45"/>
      <c r="U148" s="45"/>
      <c r="V148" s="45"/>
      <c r="W148" s="45"/>
      <c r="X148" s="45"/>
      <c r="Y148" s="45"/>
      <c r="Z148" s="47"/>
      <c r="AA148" s="26"/>
      <c r="AB148" s="27"/>
    </row>
    <row r="149" spans="1:28" ht="33">
      <c r="A149" s="79" t="s">
        <v>246</v>
      </c>
      <c r="B149" s="80" t="s">
        <v>247</v>
      </c>
      <c r="C149" s="68">
        <v>0.0117</v>
      </c>
      <c r="D149" s="75">
        <v>4500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6">
        <v>4500</v>
      </c>
      <c r="T149" s="45"/>
      <c r="U149" s="45"/>
      <c r="V149" s="45"/>
      <c r="W149" s="45"/>
      <c r="X149" s="45"/>
      <c r="Y149" s="45"/>
      <c r="Z149" s="47"/>
      <c r="AA149" s="26"/>
      <c r="AB149" s="27"/>
    </row>
    <row r="150" spans="1:28" ht="33">
      <c r="A150" s="79" t="s">
        <v>248</v>
      </c>
      <c r="B150" s="80" t="s">
        <v>249</v>
      </c>
      <c r="C150" s="68">
        <v>0.0117</v>
      </c>
      <c r="D150" s="75">
        <v>4500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>
        <v>4500</v>
      </c>
      <c r="S150" s="45"/>
      <c r="T150" s="45"/>
      <c r="U150" s="45"/>
      <c r="V150" s="45"/>
      <c r="W150" s="45"/>
      <c r="X150" s="45"/>
      <c r="Y150" s="45"/>
      <c r="Z150" s="47"/>
      <c r="AA150" s="26"/>
      <c r="AB150" s="27"/>
    </row>
    <row r="151" spans="1:28" ht="33">
      <c r="A151" s="79" t="s">
        <v>250</v>
      </c>
      <c r="B151" s="80" t="s">
        <v>251</v>
      </c>
      <c r="C151" s="68">
        <v>0.1296</v>
      </c>
      <c r="D151" s="75">
        <v>50000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6">
        <v>50000</v>
      </c>
      <c r="S151" s="45"/>
      <c r="T151" s="45"/>
      <c r="U151" s="45"/>
      <c r="V151" s="45"/>
      <c r="W151" s="45"/>
      <c r="X151" s="45"/>
      <c r="Y151" s="45"/>
      <c r="Z151" s="47"/>
      <c r="AA151" s="26"/>
      <c r="AB151" s="27"/>
    </row>
    <row r="152" spans="1:28" ht="33">
      <c r="A152" s="79" t="s">
        <v>252</v>
      </c>
      <c r="B152" s="80" t="s">
        <v>253</v>
      </c>
      <c r="C152" s="68">
        <v>0.1037</v>
      </c>
      <c r="D152" s="75">
        <v>40000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>
        <v>32000</v>
      </c>
      <c r="S152" s="46">
        <v>8000</v>
      </c>
      <c r="T152" s="45"/>
      <c r="U152" s="45"/>
      <c r="V152" s="45"/>
      <c r="W152" s="45"/>
      <c r="X152" s="45"/>
      <c r="Y152" s="45"/>
      <c r="Z152" s="47"/>
      <c r="AA152" s="26"/>
      <c r="AB152" s="27"/>
    </row>
    <row r="153" spans="1:28" ht="16.5">
      <c r="A153" s="79" t="s">
        <v>254</v>
      </c>
      <c r="B153" s="80" t="s">
        <v>255</v>
      </c>
      <c r="C153" s="68">
        <v>0.0648</v>
      </c>
      <c r="D153" s="75">
        <v>25000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6">
        <v>25000</v>
      </c>
      <c r="T153" s="45"/>
      <c r="U153" s="45"/>
      <c r="V153" s="45"/>
      <c r="W153" s="45"/>
      <c r="X153" s="45"/>
      <c r="Y153" s="45"/>
      <c r="Z153" s="47"/>
      <c r="AA153" s="26"/>
      <c r="AB153" s="27"/>
    </row>
    <row r="154" spans="1:28" ht="16.5">
      <c r="A154" s="79" t="s">
        <v>256</v>
      </c>
      <c r="B154" s="80" t="s">
        <v>257</v>
      </c>
      <c r="C154" s="68">
        <v>0.2384</v>
      </c>
      <c r="D154" s="75">
        <f>+D155+D156</f>
        <v>92000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6">
        <f>R155+R156</f>
        <v>92000</v>
      </c>
      <c r="S154" s="45"/>
      <c r="T154" s="45"/>
      <c r="U154" s="45"/>
      <c r="V154" s="45"/>
      <c r="W154" s="45"/>
      <c r="X154" s="45"/>
      <c r="Y154" s="45"/>
      <c r="Z154" s="47"/>
      <c r="AA154" s="26"/>
      <c r="AB154" s="27"/>
    </row>
    <row r="155" spans="1:28" ht="16.5">
      <c r="A155" s="79" t="s">
        <v>258</v>
      </c>
      <c r="B155" s="80" t="s">
        <v>259</v>
      </c>
      <c r="C155" s="68">
        <v>0.0518</v>
      </c>
      <c r="D155" s="75">
        <v>20000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>
        <v>20000</v>
      </c>
      <c r="S155" s="45"/>
      <c r="T155" s="45"/>
      <c r="U155" s="45"/>
      <c r="V155" s="45"/>
      <c r="W155" s="45"/>
      <c r="X155" s="45"/>
      <c r="Y155" s="45"/>
      <c r="Z155" s="47"/>
      <c r="AA155" s="26"/>
      <c r="AB155" s="27"/>
    </row>
    <row r="156" spans="1:28" ht="16.5">
      <c r="A156" s="79" t="s">
        <v>260</v>
      </c>
      <c r="B156" s="80" t="s">
        <v>261</v>
      </c>
      <c r="C156" s="68">
        <v>0.1866</v>
      </c>
      <c r="D156" s="75">
        <v>72000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6">
        <v>72000</v>
      </c>
      <c r="S156" s="45"/>
      <c r="T156" s="45"/>
      <c r="U156" s="45"/>
      <c r="V156" s="45"/>
      <c r="W156" s="45"/>
      <c r="X156" s="45"/>
      <c r="Y156" s="45"/>
      <c r="Z156" s="47"/>
      <c r="AA156" s="26"/>
      <c r="AB156" s="27"/>
    </row>
    <row r="157" spans="1:28" ht="33">
      <c r="A157" s="79" t="s">
        <v>262</v>
      </c>
      <c r="B157" s="80" t="s">
        <v>263</v>
      </c>
      <c r="C157" s="68">
        <v>0.0518</v>
      </c>
      <c r="D157" s="75">
        <v>20000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>
        <f>D157</f>
        <v>20000</v>
      </c>
      <c r="S157" s="45"/>
      <c r="T157" s="45"/>
      <c r="U157" s="45"/>
      <c r="V157" s="45"/>
      <c r="W157" s="45"/>
      <c r="X157" s="45"/>
      <c r="Y157" s="45"/>
      <c r="Z157" s="47"/>
      <c r="AA157" s="26"/>
      <c r="AB157" s="27"/>
    </row>
    <row r="158" spans="1:28" ht="33">
      <c r="A158" s="79" t="s">
        <v>264</v>
      </c>
      <c r="B158" s="80" t="s">
        <v>265</v>
      </c>
      <c r="C158" s="68">
        <v>0.0307</v>
      </c>
      <c r="D158" s="75">
        <v>11828.5</v>
      </c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6">
        <v>9462.8</v>
      </c>
      <c r="S158" s="46">
        <v>2365.7</v>
      </c>
      <c r="T158" s="45"/>
      <c r="U158" s="45"/>
      <c r="V158" s="45"/>
      <c r="W158" s="45"/>
      <c r="X158" s="45"/>
      <c r="Y158" s="45"/>
      <c r="Z158" s="47"/>
      <c r="AA158" s="26"/>
      <c r="AB158" s="27"/>
    </row>
    <row r="159" spans="1:28" ht="16.5">
      <c r="A159" s="79" t="s">
        <v>266</v>
      </c>
      <c r="B159" s="80" t="s">
        <v>267</v>
      </c>
      <c r="C159" s="68">
        <v>0.0778</v>
      </c>
      <c r="D159" s="75">
        <v>30000</v>
      </c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>
        <v>30000</v>
      </c>
      <c r="S159" s="45"/>
      <c r="T159" s="45"/>
      <c r="U159" s="45"/>
      <c r="V159" s="45"/>
      <c r="W159" s="45"/>
      <c r="X159" s="45"/>
      <c r="Y159" s="45"/>
      <c r="Z159" s="47"/>
      <c r="AA159" s="26"/>
      <c r="AB159" s="27"/>
    </row>
    <row r="160" spans="1:256" ht="16.5">
      <c r="A160" s="78">
        <v>4</v>
      </c>
      <c r="B160" s="81" t="s">
        <v>268</v>
      </c>
      <c r="C160" s="61">
        <v>0.02</v>
      </c>
      <c r="D160" s="60">
        <v>145595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6">
        <v>108456.2</v>
      </c>
      <c r="R160" s="39"/>
      <c r="S160" s="39"/>
      <c r="T160" s="39"/>
      <c r="U160" s="39"/>
      <c r="V160" s="39"/>
      <c r="W160" s="39"/>
      <c r="X160" s="39"/>
      <c r="Y160" s="39"/>
      <c r="Z160" s="40"/>
      <c r="AA160" s="26"/>
      <c r="AB160" s="27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  <c r="IV160" s="34"/>
    </row>
    <row r="161" spans="1:28" ht="16.5">
      <c r="A161" s="78" t="s">
        <v>269</v>
      </c>
      <c r="B161" s="82" t="s">
        <v>270</v>
      </c>
      <c r="C161" s="61">
        <v>0.15</v>
      </c>
      <c r="D161" s="60">
        <v>21839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6">
        <v>21839</v>
      </c>
      <c r="R161" s="39"/>
      <c r="S161" s="39"/>
      <c r="T161" s="39"/>
      <c r="U161" s="39"/>
      <c r="V161" s="39"/>
      <c r="W161" s="39"/>
      <c r="X161" s="39"/>
      <c r="Y161" s="39"/>
      <c r="Z161" s="40"/>
      <c r="AA161" s="26"/>
      <c r="AB161" s="27"/>
    </row>
    <row r="162" spans="1:28" ht="16.5">
      <c r="A162" s="78" t="s">
        <v>271</v>
      </c>
      <c r="B162" s="82" t="s">
        <v>272</v>
      </c>
      <c r="C162" s="61">
        <v>0.85</v>
      </c>
      <c r="D162" s="60">
        <v>123756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6">
        <v>86629.2</v>
      </c>
      <c r="R162" s="39"/>
      <c r="S162" s="39"/>
      <c r="T162" s="39"/>
      <c r="U162" s="39"/>
      <c r="V162" s="39"/>
      <c r="W162" s="39"/>
      <c r="X162" s="39"/>
      <c r="Y162" s="39"/>
      <c r="Z162" s="40"/>
      <c r="AA162" s="26"/>
      <c r="AB162" s="27"/>
    </row>
    <row r="163" spans="1:28" ht="33">
      <c r="A163" s="83" t="s">
        <v>273</v>
      </c>
      <c r="B163" s="55" t="s">
        <v>274</v>
      </c>
      <c r="C163" s="84" t="s">
        <v>275</v>
      </c>
      <c r="D163" s="57">
        <v>4171100</v>
      </c>
      <c r="E163" s="58">
        <f>SUM(E164:E295)</f>
        <v>0</v>
      </c>
      <c r="F163" s="58">
        <f>SUM(F164:F295)</f>
        <v>0</v>
      </c>
      <c r="G163" s="58">
        <f>SUM(G164:G295)</f>
        <v>0</v>
      </c>
      <c r="H163" s="58">
        <f>SUM(H164:H295)</f>
        <v>0</v>
      </c>
      <c r="I163" s="58">
        <f>SUM(I164:I295)</f>
        <v>0</v>
      </c>
      <c r="J163" s="58">
        <f>SUM(J164:J295)</f>
        <v>0</v>
      </c>
      <c r="K163" s="58">
        <f>SUM(K164:K295)</f>
        <v>0</v>
      </c>
      <c r="L163" s="58">
        <f>SUM(L164:L295)</f>
        <v>0</v>
      </c>
      <c r="M163" s="58">
        <f>SUM(M164:M295)</f>
        <v>0</v>
      </c>
      <c r="N163" s="58">
        <f>SUM(N164:N295)</f>
        <v>0</v>
      </c>
      <c r="O163" s="58">
        <f>SUM(O164:O295)</f>
        <v>26400</v>
      </c>
      <c r="P163" s="58">
        <f>SUM(P164:P295)</f>
        <v>128151</v>
      </c>
      <c r="Q163" s="58">
        <v>307272.2</v>
      </c>
      <c r="R163" s="58">
        <f>R164+R237+R258+R283</f>
        <v>936243.2</v>
      </c>
      <c r="S163" s="58">
        <f>S164+S237+S258+S283</f>
        <v>1458564</v>
      </c>
      <c r="T163" s="58">
        <f>SUM(T164:T295)</f>
        <v>421453</v>
      </c>
      <c r="U163" s="58">
        <f>SUM(U164:U295)</f>
        <v>446264.2</v>
      </c>
      <c r="V163" s="58">
        <f>SUM(V164:V295)</f>
        <v>0</v>
      </c>
      <c r="W163" s="58">
        <f>SUM(W164:W295)</f>
        <v>0</v>
      </c>
      <c r="X163" s="58">
        <f>SUM(X164:X295)</f>
        <v>0</v>
      </c>
      <c r="Y163" s="58">
        <f>SUM(Y164:Y295)</f>
        <v>0</v>
      </c>
      <c r="Z163" s="58">
        <f>SUM(Z164:Z295)</f>
        <v>0</v>
      </c>
      <c r="AA163" s="26"/>
      <c r="AB163" s="27"/>
    </row>
    <row r="164" spans="1:256" ht="30.75" customHeight="1">
      <c r="A164" s="35">
        <v>1</v>
      </c>
      <c r="B164" s="85" t="s">
        <v>276</v>
      </c>
      <c r="C164" s="86">
        <v>0.48</v>
      </c>
      <c r="D164" s="87">
        <v>2002128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6">
        <f>Q165+Q168+Q181</f>
        <v>253272.2</v>
      </c>
      <c r="R164" s="46">
        <f>R168+R181</f>
        <v>332055.2</v>
      </c>
      <c r="S164" s="46">
        <f>S165+S168+S175+S179+S181</f>
        <v>614714</v>
      </c>
      <c r="T164" s="39"/>
      <c r="U164" s="39"/>
      <c r="V164" s="39"/>
      <c r="W164" s="39"/>
      <c r="X164" s="39"/>
      <c r="Y164" s="39"/>
      <c r="Z164" s="40"/>
      <c r="AA164" s="26"/>
      <c r="AB164" s="27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</row>
    <row r="165" spans="1:28" ht="15.75" customHeight="1">
      <c r="A165" s="35" t="s">
        <v>10</v>
      </c>
      <c r="B165" s="66" t="s">
        <v>277</v>
      </c>
      <c r="C165" s="88">
        <v>0.04</v>
      </c>
      <c r="D165" s="74">
        <v>80085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46">
        <v>16017</v>
      </c>
      <c r="R165" s="39"/>
      <c r="S165" s="46">
        <f>S166</f>
        <v>4017</v>
      </c>
      <c r="T165" s="39"/>
      <c r="U165" s="39"/>
      <c r="V165" s="39"/>
      <c r="W165" s="39"/>
      <c r="X165" s="39"/>
      <c r="Y165" s="39"/>
      <c r="Z165" s="40"/>
      <c r="AA165" s="26"/>
      <c r="AB165" s="27"/>
    </row>
    <row r="166" spans="1:28" ht="15.75" customHeight="1">
      <c r="A166" s="41" t="s">
        <v>12</v>
      </c>
      <c r="B166" s="67" t="s">
        <v>163</v>
      </c>
      <c r="C166" s="89">
        <v>0.2508</v>
      </c>
      <c r="D166" s="75">
        <v>20085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>
        <v>12051</v>
      </c>
      <c r="Q166" s="46">
        <v>4017</v>
      </c>
      <c r="R166" s="45"/>
      <c r="S166" s="46">
        <v>4017</v>
      </c>
      <c r="T166" s="45"/>
      <c r="U166" s="45"/>
      <c r="V166" s="45"/>
      <c r="W166" s="45"/>
      <c r="X166" s="45"/>
      <c r="Y166" s="45"/>
      <c r="Z166" s="47"/>
      <c r="AA166" s="26"/>
      <c r="AB166" s="27"/>
    </row>
    <row r="167" spans="1:28" ht="15.75" customHeight="1">
      <c r="A167" s="41" t="s">
        <v>14</v>
      </c>
      <c r="B167" s="67" t="s">
        <v>278</v>
      </c>
      <c r="C167" s="89">
        <v>0.7492</v>
      </c>
      <c r="D167" s="75">
        <v>60000</v>
      </c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6">
        <v>48000</v>
      </c>
      <c r="Q167" s="46">
        <v>12000</v>
      </c>
      <c r="R167" s="45"/>
      <c r="S167" s="45"/>
      <c r="T167" s="45"/>
      <c r="U167" s="45"/>
      <c r="V167" s="45"/>
      <c r="W167" s="45"/>
      <c r="X167" s="45"/>
      <c r="Y167" s="45"/>
      <c r="Z167" s="47"/>
      <c r="AA167" s="26"/>
      <c r="AB167" s="27"/>
    </row>
    <row r="168" spans="1:28" ht="15.75" customHeight="1">
      <c r="A168" s="35" t="s">
        <v>20</v>
      </c>
      <c r="B168" s="66" t="s">
        <v>279</v>
      </c>
      <c r="C168" s="88">
        <v>0.3</v>
      </c>
      <c r="D168" s="74">
        <v>600638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6">
        <v>179255.2</v>
      </c>
      <c r="R168" s="46">
        <f>SUM(R169:R174)</f>
        <v>264255.2</v>
      </c>
      <c r="S168" s="46">
        <f>SUM(S169:S174)</f>
        <v>157127.6</v>
      </c>
      <c r="T168" s="39"/>
      <c r="U168" s="39"/>
      <c r="V168" s="39"/>
      <c r="W168" s="39"/>
      <c r="X168" s="39"/>
      <c r="Y168" s="39"/>
      <c r="Z168" s="40"/>
      <c r="AA168" s="26"/>
      <c r="AB168" s="27"/>
    </row>
    <row r="169" spans="1:28" ht="15.75" customHeight="1">
      <c r="A169" s="79" t="s">
        <v>22</v>
      </c>
      <c r="B169" s="80" t="s">
        <v>280</v>
      </c>
      <c r="C169" s="89">
        <v>0.3002</v>
      </c>
      <c r="D169" s="75">
        <v>180319</v>
      </c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6">
        <v>144255.2</v>
      </c>
      <c r="R169" s="45"/>
      <c r="S169" s="46">
        <v>36063.8</v>
      </c>
      <c r="T169" s="45"/>
      <c r="U169" s="45"/>
      <c r="V169" s="45"/>
      <c r="W169" s="45"/>
      <c r="X169" s="45"/>
      <c r="Y169" s="45"/>
      <c r="Z169" s="47"/>
      <c r="AA169" s="26"/>
      <c r="AB169" s="27"/>
    </row>
    <row r="170" spans="1:28" ht="15.75" customHeight="1">
      <c r="A170" s="79" t="s">
        <v>24</v>
      </c>
      <c r="B170" s="80" t="s">
        <v>281</v>
      </c>
      <c r="C170" s="89">
        <v>0.1415</v>
      </c>
      <c r="D170" s="75">
        <v>85000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6">
        <v>85000</v>
      </c>
      <c r="S170" s="45"/>
      <c r="T170" s="45"/>
      <c r="U170" s="45"/>
      <c r="V170" s="45"/>
      <c r="W170" s="45"/>
      <c r="X170" s="45"/>
      <c r="Y170" s="45"/>
      <c r="Z170" s="47"/>
      <c r="AA170" s="26"/>
      <c r="AB170" s="27"/>
    </row>
    <row r="171" spans="1:28" ht="15.75" customHeight="1">
      <c r="A171" s="79" t="s">
        <v>26</v>
      </c>
      <c r="B171" s="80" t="s">
        <v>282</v>
      </c>
      <c r="C171" s="89">
        <v>0.3002</v>
      </c>
      <c r="D171" s="75">
        <v>180319</v>
      </c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6">
        <v>144255.2</v>
      </c>
      <c r="S171" s="46">
        <v>36063.8</v>
      </c>
      <c r="T171" s="45"/>
      <c r="U171" s="45"/>
      <c r="V171" s="45"/>
      <c r="W171" s="45"/>
      <c r="X171" s="45"/>
      <c r="Y171" s="45"/>
      <c r="Z171" s="47"/>
      <c r="AA171" s="26"/>
      <c r="AB171" s="27"/>
    </row>
    <row r="172" spans="1:28" ht="15.75" customHeight="1">
      <c r="A172" s="79" t="s">
        <v>28</v>
      </c>
      <c r="B172" s="80" t="s">
        <v>283</v>
      </c>
      <c r="C172" s="89">
        <v>0.1415</v>
      </c>
      <c r="D172" s="75">
        <v>85000</v>
      </c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6">
        <v>85000</v>
      </c>
      <c r="T172" s="45"/>
      <c r="U172" s="45"/>
      <c r="V172" s="45"/>
      <c r="W172" s="45"/>
      <c r="X172" s="45"/>
      <c r="Y172" s="45"/>
      <c r="Z172" s="47"/>
      <c r="AA172" s="26"/>
      <c r="AB172" s="27"/>
    </row>
    <row r="173" spans="1:28" ht="15.75" customHeight="1">
      <c r="A173" s="79" t="s">
        <v>30</v>
      </c>
      <c r="B173" s="80" t="s">
        <v>284</v>
      </c>
      <c r="C173" s="89">
        <v>0.0583</v>
      </c>
      <c r="D173" s="75">
        <v>35000</v>
      </c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6">
        <v>35000</v>
      </c>
      <c r="S173" s="45"/>
      <c r="T173" s="45"/>
      <c r="U173" s="45"/>
      <c r="V173" s="45"/>
      <c r="W173" s="45"/>
      <c r="X173" s="45"/>
      <c r="Y173" s="45"/>
      <c r="Z173" s="47"/>
      <c r="AA173" s="26"/>
      <c r="AB173" s="27"/>
    </row>
    <row r="174" spans="1:28" ht="15.75" customHeight="1">
      <c r="A174" s="79" t="s">
        <v>32</v>
      </c>
      <c r="B174" s="80" t="s">
        <v>285</v>
      </c>
      <c r="C174" s="89">
        <v>0.0583</v>
      </c>
      <c r="D174" s="75">
        <v>35000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6">
        <v>35000</v>
      </c>
      <c r="R174" s="45"/>
      <c r="S174" s="45"/>
      <c r="T174" s="45"/>
      <c r="U174" s="45"/>
      <c r="V174" s="45"/>
      <c r="W174" s="45"/>
      <c r="X174" s="45"/>
      <c r="Y174" s="45"/>
      <c r="Z174" s="47"/>
      <c r="AA174" s="26"/>
      <c r="AB174" s="27"/>
    </row>
    <row r="175" spans="1:28" ht="15.75" customHeight="1">
      <c r="A175" s="78" t="s">
        <v>87</v>
      </c>
      <c r="B175" s="53" t="s">
        <v>286</v>
      </c>
      <c r="C175" s="86">
        <v>0.06</v>
      </c>
      <c r="D175" s="74">
        <v>120127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46">
        <f>S176+S177</f>
        <v>120127</v>
      </c>
      <c r="T175" s="39"/>
      <c r="U175" s="39"/>
      <c r="V175" s="39"/>
      <c r="W175" s="39"/>
      <c r="X175" s="39"/>
      <c r="Y175" s="39"/>
      <c r="Z175" s="40"/>
      <c r="AA175" s="26"/>
      <c r="AB175" s="27"/>
    </row>
    <row r="176" spans="1:28" ht="15.75" customHeight="1">
      <c r="A176" s="79" t="s">
        <v>287</v>
      </c>
      <c r="B176" s="80" t="s">
        <v>288</v>
      </c>
      <c r="C176" s="90">
        <v>0.71</v>
      </c>
      <c r="D176" s="75">
        <v>85127</v>
      </c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6">
        <v>85127</v>
      </c>
      <c r="T176" s="45"/>
      <c r="U176" s="45"/>
      <c r="V176" s="45"/>
      <c r="W176" s="45"/>
      <c r="X176" s="45"/>
      <c r="Y176" s="45"/>
      <c r="Z176" s="47"/>
      <c r="AA176" s="26"/>
      <c r="AB176" s="27"/>
    </row>
    <row r="177" spans="1:28" ht="15.75" customHeight="1">
      <c r="A177" s="79" t="s">
        <v>289</v>
      </c>
      <c r="B177" s="80" t="s">
        <v>290</v>
      </c>
      <c r="C177" s="90">
        <v>0.29</v>
      </c>
      <c r="D177" s="75">
        <v>35000</v>
      </c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6">
        <v>35000</v>
      </c>
      <c r="T177" s="45"/>
      <c r="U177" s="45"/>
      <c r="V177" s="45"/>
      <c r="W177" s="45"/>
      <c r="X177" s="45"/>
      <c r="Y177" s="45"/>
      <c r="Z177" s="47"/>
      <c r="AA177" s="26"/>
      <c r="AB177" s="27"/>
    </row>
    <row r="178" spans="1:28" ht="15.75" customHeight="1">
      <c r="A178" s="78" t="s">
        <v>89</v>
      </c>
      <c r="B178" s="53" t="s">
        <v>291</v>
      </c>
      <c r="C178" s="86">
        <v>0.05</v>
      </c>
      <c r="D178" s="74">
        <v>100106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46">
        <f>S179</f>
        <v>24042.4</v>
      </c>
      <c r="T178" s="39"/>
      <c r="U178" s="39"/>
      <c r="V178" s="39"/>
      <c r="W178" s="39"/>
      <c r="X178" s="39"/>
      <c r="Y178" s="39"/>
      <c r="Z178" s="40"/>
      <c r="AA178" s="26"/>
      <c r="AB178" s="27"/>
    </row>
    <row r="179" spans="1:28" ht="15.75" customHeight="1">
      <c r="A179" s="79" t="s">
        <v>292</v>
      </c>
      <c r="B179" s="80" t="s">
        <v>293</v>
      </c>
      <c r="C179" s="90">
        <v>0.6</v>
      </c>
      <c r="D179" s="75">
        <v>60106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6">
        <v>24042.4</v>
      </c>
      <c r="T179" s="45"/>
      <c r="U179" s="45"/>
      <c r="V179" s="45"/>
      <c r="W179" s="45"/>
      <c r="X179" s="45"/>
      <c r="Y179" s="45"/>
      <c r="Z179" s="47"/>
      <c r="AA179" s="26"/>
      <c r="AB179" s="27"/>
    </row>
    <row r="180" spans="1:28" ht="15.75" customHeight="1">
      <c r="A180" s="79" t="s">
        <v>294</v>
      </c>
      <c r="B180" s="80" t="s">
        <v>295</v>
      </c>
      <c r="C180" s="90">
        <v>0.4</v>
      </c>
      <c r="D180" s="75">
        <v>40000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7"/>
      <c r="AA180" s="26"/>
      <c r="AB180" s="27"/>
    </row>
    <row r="181" spans="1:28" ht="15.75" customHeight="1">
      <c r="A181" s="78" t="s">
        <v>91</v>
      </c>
      <c r="B181" s="53" t="s">
        <v>296</v>
      </c>
      <c r="C181" s="86">
        <v>0.55</v>
      </c>
      <c r="D181" s="74">
        <v>1101172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6">
        <f>Q182</f>
        <v>58000</v>
      </c>
      <c r="R181" s="46">
        <f>R182</f>
        <v>67800</v>
      </c>
      <c r="S181" s="46">
        <f>S182+S206+S226</f>
        <v>309400</v>
      </c>
      <c r="T181" s="39"/>
      <c r="U181" s="39"/>
      <c r="V181" s="39"/>
      <c r="W181" s="39"/>
      <c r="X181" s="39"/>
      <c r="Y181" s="39"/>
      <c r="Z181" s="40"/>
      <c r="AA181" s="26"/>
      <c r="AB181" s="27"/>
    </row>
    <row r="182" spans="1:28" ht="15.75" customHeight="1">
      <c r="A182" s="79" t="s">
        <v>297</v>
      </c>
      <c r="B182" s="80" t="s">
        <v>298</v>
      </c>
      <c r="C182" s="90">
        <v>0.5</v>
      </c>
      <c r="D182" s="75">
        <v>550000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>
        <f>Q183+Q184+Q189</f>
        <v>58000</v>
      </c>
      <c r="R182" s="46">
        <f>SUM(R183:R205)</f>
        <v>67800</v>
      </c>
      <c r="S182" s="46">
        <v>177600</v>
      </c>
      <c r="T182" s="45"/>
      <c r="U182" s="45"/>
      <c r="V182" s="45"/>
      <c r="W182" s="45"/>
      <c r="X182" s="45"/>
      <c r="Y182" s="45"/>
      <c r="Z182" s="47"/>
      <c r="AA182" s="26"/>
      <c r="AB182" s="27"/>
    </row>
    <row r="183" spans="1:28" ht="15.75" customHeight="1">
      <c r="A183" s="79" t="s">
        <v>299</v>
      </c>
      <c r="B183" s="80" t="s">
        <v>300</v>
      </c>
      <c r="C183" s="90">
        <v>0.0382</v>
      </c>
      <c r="D183" s="75">
        <v>21000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>
        <v>21000</v>
      </c>
      <c r="R183" s="45"/>
      <c r="S183" s="45"/>
      <c r="T183" s="45"/>
      <c r="U183" s="45"/>
      <c r="V183" s="45"/>
      <c r="W183" s="45"/>
      <c r="X183" s="45"/>
      <c r="Y183" s="45"/>
      <c r="Z183" s="47"/>
      <c r="AA183" s="26"/>
      <c r="AB183" s="27"/>
    </row>
    <row r="184" spans="1:28" ht="15.75" customHeight="1">
      <c r="A184" s="79" t="s">
        <v>301</v>
      </c>
      <c r="B184" s="80" t="s">
        <v>302</v>
      </c>
      <c r="C184" s="90">
        <v>0.0545</v>
      </c>
      <c r="D184" s="75">
        <v>30000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6">
        <v>30000</v>
      </c>
      <c r="R184" s="45"/>
      <c r="S184" s="45"/>
      <c r="T184" s="45"/>
      <c r="U184" s="45"/>
      <c r="V184" s="45"/>
      <c r="W184" s="45"/>
      <c r="X184" s="45"/>
      <c r="Y184" s="45"/>
      <c r="Z184" s="47"/>
      <c r="AA184" s="26"/>
      <c r="AB184" s="27"/>
    </row>
    <row r="185" spans="1:28" ht="15.75" customHeight="1">
      <c r="A185" s="79" t="s">
        <v>303</v>
      </c>
      <c r="B185" s="80" t="s">
        <v>304</v>
      </c>
      <c r="C185" s="90">
        <v>0.0273</v>
      </c>
      <c r="D185" s="75">
        <v>15000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6">
        <v>12000</v>
      </c>
      <c r="S185" s="45"/>
      <c r="T185" s="46">
        <v>6000</v>
      </c>
      <c r="U185" s="45"/>
      <c r="V185" s="45"/>
      <c r="W185" s="45"/>
      <c r="X185" s="45"/>
      <c r="Y185" s="45"/>
      <c r="Z185" s="47"/>
      <c r="AA185" s="26"/>
      <c r="AB185" s="27"/>
    </row>
    <row r="186" spans="1:28" ht="15.75" customHeight="1">
      <c r="A186" s="79" t="s">
        <v>305</v>
      </c>
      <c r="B186" s="80" t="s">
        <v>306</v>
      </c>
      <c r="C186" s="90">
        <v>0.0727</v>
      </c>
      <c r="D186" s="75">
        <v>40000</v>
      </c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6">
        <v>24000</v>
      </c>
      <c r="T186" s="46">
        <v>24000</v>
      </c>
      <c r="U186" s="46">
        <v>16000</v>
      </c>
      <c r="V186" s="45"/>
      <c r="W186" s="45"/>
      <c r="X186" s="45"/>
      <c r="Y186" s="45"/>
      <c r="Z186" s="47"/>
      <c r="AA186" s="26"/>
      <c r="AB186" s="27"/>
    </row>
    <row r="187" spans="1:28" ht="15.75" customHeight="1">
      <c r="A187" s="79" t="s">
        <v>307</v>
      </c>
      <c r="B187" s="80" t="s">
        <v>308</v>
      </c>
      <c r="C187" s="90">
        <v>0.0727</v>
      </c>
      <c r="D187" s="75">
        <v>40000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6">
        <v>16000</v>
      </c>
      <c r="T187" s="45"/>
      <c r="U187" s="46">
        <v>40000</v>
      </c>
      <c r="V187" s="45"/>
      <c r="W187" s="45"/>
      <c r="X187" s="45"/>
      <c r="Y187" s="45"/>
      <c r="Z187" s="47"/>
      <c r="AA187" s="26"/>
      <c r="AB187" s="27"/>
    </row>
    <row r="188" spans="1:28" ht="15.75" customHeight="1">
      <c r="A188" s="79" t="s">
        <v>309</v>
      </c>
      <c r="B188" s="80" t="s">
        <v>310</v>
      </c>
      <c r="C188" s="90">
        <v>0.0273</v>
      </c>
      <c r="D188" s="75">
        <v>15000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6">
        <v>12000</v>
      </c>
      <c r="S188" s="45"/>
      <c r="T188" s="46">
        <v>9000</v>
      </c>
      <c r="U188" s="46">
        <v>6000</v>
      </c>
      <c r="V188" s="45"/>
      <c r="W188" s="45"/>
      <c r="X188" s="45"/>
      <c r="Y188" s="45"/>
      <c r="Z188" s="47"/>
      <c r="AA188" s="26"/>
      <c r="AB188" s="27"/>
    </row>
    <row r="189" spans="1:28" ht="15.75" customHeight="1">
      <c r="A189" s="79" t="s">
        <v>311</v>
      </c>
      <c r="B189" s="80" t="s">
        <v>312</v>
      </c>
      <c r="C189" s="90">
        <v>0.0127</v>
      </c>
      <c r="D189" s="75">
        <v>7000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6">
        <v>7000</v>
      </c>
      <c r="R189" s="45"/>
      <c r="S189" s="45"/>
      <c r="T189" s="45"/>
      <c r="U189" s="45"/>
      <c r="V189" s="45"/>
      <c r="W189" s="45"/>
      <c r="X189" s="45"/>
      <c r="Y189" s="45"/>
      <c r="Z189" s="47"/>
      <c r="AA189" s="26"/>
      <c r="AB189" s="27"/>
    </row>
    <row r="190" spans="1:28" ht="15.75" customHeight="1">
      <c r="A190" s="79" t="s">
        <v>313</v>
      </c>
      <c r="B190" s="80" t="s">
        <v>314</v>
      </c>
      <c r="C190" s="90">
        <v>0.0273</v>
      </c>
      <c r="D190" s="75">
        <v>15000</v>
      </c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6">
        <v>15000</v>
      </c>
      <c r="T190" s="45"/>
      <c r="U190" s="45"/>
      <c r="V190" s="45"/>
      <c r="W190" s="45"/>
      <c r="X190" s="45"/>
      <c r="Y190" s="45"/>
      <c r="Z190" s="47"/>
      <c r="AA190" s="26"/>
      <c r="AB190" s="27"/>
    </row>
    <row r="191" spans="1:28" ht="15.75" customHeight="1">
      <c r="A191" s="79" t="s">
        <v>315</v>
      </c>
      <c r="B191" s="80" t="s">
        <v>316</v>
      </c>
      <c r="C191" s="90">
        <v>0.0127</v>
      </c>
      <c r="D191" s="75">
        <v>7000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6">
        <v>7000</v>
      </c>
      <c r="T191" s="45"/>
      <c r="U191" s="45"/>
      <c r="V191" s="45"/>
      <c r="W191" s="45"/>
      <c r="X191" s="45"/>
      <c r="Y191" s="45"/>
      <c r="Z191" s="47"/>
      <c r="AA191" s="26"/>
      <c r="AB191" s="27"/>
    </row>
    <row r="192" spans="1:28" ht="15.75" customHeight="1">
      <c r="A192" s="79" t="s">
        <v>317</v>
      </c>
      <c r="B192" s="80" t="s">
        <v>318</v>
      </c>
      <c r="C192" s="90">
        <v>0.0509</v>
      </c>
      <c r="D192" s="75">
        <v>28000</v>
      </c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6">
        <v>7000</v>
      </c>
      <c r="S192" s="45"/>
      <c r="T192" s="46">
        <v>28000</v>
      </c>
      <c r="U192" s="45"/>
      <c r="V192" s="45"/>
      <c r="W192" s="45"/>
      <c r="X192" s="45"/>
      <c r="Y192" s="45"/>
      <c r="Z192" s="47"/>
      <c r="AA192" s="26"/>
      <c r="AB192" s="27"/>
    </row>
    <row r="193" spans="1:28" ht="15.75" customHeight="1">
      <c r="A193" s="79" t="s">
        <v>319</v>
      </c>
      <c r="B193" s="80" t="s">
        <v>320</v>
      </c>
      <c r="C193" s="90">
        <v>0.0127</v>
      </c>
      <c r="D193" s="75">
        <v>7000</v>
      </c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6">
        <v>36800</v>
      </c>
      <c r="S193" s="45"/>
      <c r="T193" s="45"/>
      <c r="U193" s="45"/>
      <c r="V193" s="45"/>
      <c r="W193" s="45"/>
      <c r="X193" s="45"/>
      <c r="Y193" s="45"/>
      <c r="Z193" s="47"/>
      <c r="AA193" s="26"/>
      <c r="AB193" s="27"/>
    </row>
    <row r="194" spans="1:28" ht="15.75" customHeight="1">
      <c r="A194" s="79" t="s">
        <v>321</v>
      </c>
      <c r="B194" s="80" t="s">
        <v>322</v>
      </c>
      <c r="C194" s="90">
        <v>0.0669</v>
      </c>
      <c r="D194" s="75">
        <v>36800</v>
      </c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6">
        <v>22080</v>
      </c>
      <c r="U194" s="45"/>
      <c r="V194" s="45"/>
      <c r="W194" s="45"/>
      <c r="X194" s="45"/>
      <c r="Y194" s="45"/>
      <c r="Z194" s="47"/>
      <c r="AA194" s="26"/>
      <c r="AB194" s="27"/>
    </row>
    <row r="195" spans="1:28" ht="15.75" customHeight="1">
      <c r="A195" s="79" t="s">
        <v>323</v>
      </c>
      <c r="B195" s="80" t="s">
        <v>324</v>
      </c>
      <c r="C195" s="90">
        <v>0.04</v>
      </c>
      <c r="D195" s="75">
        <v>22000</v>
      </c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6">
        <v>17600</v>
      </c>
      <c r="T195" s="46">
        <v>22000</v>
      </c>
      <c r="U195" s="45"/>
      <c r="V195" s="45"/>
      <c r="W195" s="45"/>
      <c r="X195" s="45"/>
      <c r="Y195" s="45"/>
      <c r="Z195" s="47"/>
      <c r="AA195" s="26"/>
      <c r="AB195" s="27"/>
    </row>
    <row r="196" spans="1:28" ht="15.75" customHeight="1">
      <c r="A196" s="79" t="s">
        <v>325</v>
      </c>
      <c r="B196" s="80" t="s">
        <v>326</v>
      </c>
      <c r="C196" s="90">
        <v>0.0109</v>
      </c>
      <c r="D196" s="75">
        <v>6000</v>
      </c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6">
        <v>6000</v>
      </c>
      <c r="U196" s="45"/>
      <c r="V196" s="45"/>
      <c r="W196" s="45"/>
      <c r="X196" s="45"/>
      <c r="Y196" s="45"/>
      <c r="Z196" s="47"/>
      <c r="AA196" s="26"/>
      <c r="AB196" s="27"/>
    </row>
    <row r="197" spans="1:28" ht="15.75" customHeight="1">
      <c r="A197" s="79" t="s">
        <v>327</v>
      </c>
      <c r="B197" s="80" t="s">
        <v>328</v>
      </c>
      <c r="C197" s="90">
        <v>0.0273</v>
      </c>
      <c r="D197" s="75">
        <v>15000</v>
      </c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6">
        <v>9000</v>
      </c>
      <c r="U197" s="46">
        <v>6000</v>
      </c>
      <c r="V197" s="45"/>
      <c r="W197" s="45"/>
      <c r="X197" s="45"/>
      <c r="Y197" s="45"/>
      <c r="Z197" s="47"/>
      <c r="AA197" s="26"/>
      <c r="AB197" s="27"/>
    </row>
    <row r="198" spans="1:28" ht="15.75" customHeight="1">
      <c r="A198" s="79" t="s">
        <v>329</v>
      </c>
      <c r="B198" s="80" t="s">
        <v>330</v>
      </c>
      <c r="C198" s="90">
        <v>0.0109</v>
      </c>
      <c r="D198" s="75">
        <v>6000</v>
      </c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6">
        <v>6000</v>
      </c>
      <c r="V198" s="45"/>
      <c r="W198" s="45"/>
      <c r="X198" s="45"/>
      <c r="Y198" s="45"/>
      <c r="Z198" s="47"/>
      <c r="AA198" s="26"/>
      <c r="AB198" s="27"/>
    </row>
    <row r="199" spans="1:28" ht="15.75" customHeight="1">
      <c r="A199" s="79" t="s">
        <v>331</v>
      </c>
      <c r="B199" s="80" t="s">
        <v>332</v>
      </c>
      <c r="C199" s="90">
        <v>0.0509</v>
      </c>
      <c r="D199" s="75">
        <v>28000</v>
      </c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6">
        <v>16800</v>
      </c>
      <c r="U199" s="46">
        <v>11200</v>
      </c>
      <c r="V199" s="45"/>
      <c r="W199" s="45"/>
      <c r="X199" s="45"/>
      <c r="Y199" s="45"/>
      <c r="Z199" s="47"/>
      <c r="AA199" s="26"/>
      <c r="AB199" s="27"/>
    </row>
    <row r="200" spans="1:28" ht="15.75" customHeight="1">
      <c r="A200" s="79" t="s">
        <v>333</v>
      </c>
      <c r="B200" s="80" t="s">
        <v>334</v>
      </c>
      <c r="C200" s="90">
        <v>0.0222</v>
      </c>
      <c r="D200" s="75">
        <v>12200</v>
      </c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7"/>
      <c r="AA200" s="26"/>
      <c r="AB200" s="27"/>
    </row>
    <row r="201" spans="1:28" ht="15.75" customHeight="1">
      <c r="A201" s="79" t="s">
        <v>335</v>
      </c>
      <c r="B201" s="80" t="s">
        <v>336</v>
      </c>
      <c r="C201" s="90">
        <v>0.0273</v>
      </c>
      <c r="D201" s="75">
        <v>15000</v>
      </c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7"/>
      <c r="AA201" s="26"/>
      <c r="AB201" s="27"/>
    </row>
    <row r="202" spans="1:28" ht="15.75" customHeight="1">
      <c r="A202" s="79" t="s">
        <v>337</v>
      </c>
      <c r="B202" s="80" t="s">
        <v>338</v>
      </c>
      <c r="C202" s="90">
        <v>0.0373</v>
      </c>
      <c r="D202" s="75">
        <v>20500</v>
      </c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6">
        <v>12300</v>
      </c>
      <c r="U202" s="46">
        <v>8200</v>
      </c>
      <c r="V202" s="45"/>
      <c r="W202" s="45"/>
      <c r="X202" s="45"/>
      <c r="Y202" s="45"/>
      <c r="Z202" s="47"/>
      <c r="AA202" s="26"/>
      <c r="AB202" s="27"/>
    </row>
    <row r="203" spans="1:28" ht="15.75" customHeight="1">
      <c r="A203" s="79" t="s">
        <v>339</v>
      </c>
      <c r="B203" s="80" t="s">
        <v>340</v>
      </c>
      <c r="C203" s="90">
        <v>0.0218</v>
      </c>
      <c r="D203" s="75">
        <v>12000</v>
      </c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6">
        <v>12000</v>
      </c>
      <c r="V203" s="45"/>
      <c r="W203" s="45"/>
      <c r="X203" s="45"/>
      <c r="Y203" s="45"/>
      <c r="Z203" s="47"/>
      <c r="AA203" s="26"/>
      <c r="AB203" s="27"/>
    </row>
    <row r="204" spans="1:28" ht="15.75" customHeight="1">
      <c r="A204" s="79" t="s">
        <v>341</v>
      </c>
      <c r="B204" s="80" t="s">
        <v>342</v>
      </c>
      <c r="C204" s="90">
        <v>0.0209</v>
      </c>
      <c r="D204" s="75">
        <v>11500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6">
        <v>11500</v>
      </c>
      <c r="V204" s="45"/>
      <c r="W204" s="45"/>
      <c r="X204" s="45"/>
      <c r="Y204" s="45"/>
      <c r="Z204" s="47"/>
      <c r="AA204" s="26"/>
      <c r="AB204" s="27"/>
    </row>
    <row r="205" spans="1:28" ht="15.75" customHeight="1">
      <c r="A205" s="79" t="s">
        <v>343</v>
      </c>
      <c r="B205" s="80" t="s">
        <v>344</v>
      </c>
      <c r="C205" s="90">
        <v>0.2545</v>
      </c>
      <c r="D205" s="75">
        <v>140000</v>
      </c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6">
        <v>98000</v>
      </c>
      <c r="T205" s="45"/>
      <c r="U205" s="45"/>
      <c r="V205" s="45"/>
      <c r="W205" s="45"/>
      <c r="X205" s="45"/>
      <c r="Y205" s="45"/>
      <c r="Z205" s="47"/>
      <c r="AA205" s="26"/>
      <c r="AB205" s="27"/>
    </row>
    <row r="206" spans="1:28" ht="15.75" customHeight="1">
      <c r="A206" s="79" t="s">
        <v>345</v>
      </c>
      <c r="B206" s="80" t="s">
        <v>346</v>
      </c>
      <c r="C206" s="90">
        <v>0.39</v>
      </c>
      <c r="D206" s="75">
        <v>430000</v>
      </c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6">
        <v>94800</v>
      </c>
      <c r="T206" s="45"/>
      <c r="U206" s="45"/>
      <c r="V206" s="45"/>
      <c r="W206" s="45"/>
      <c r="X206" s="45"/>
      <c r="Y206" s="45"/>
      <c r="Z206" s="47"/>
      <c r="AA206" s="26"/>
      <c r="AB206" s="27"/>
    </row>
    <row r="207" spans="1:28" ht="15.75" customHeight="1">
      <c r="A207" s="79" t="s">
        <v>347</v>
      </c>
      <c r="B207" s="80" t="s">
        <v>348</v>
      </c>
      <c r="C207" s="90">
        <v>0.0698</v>
      </c>
      <c r="D207" s="75">
        <v>30000</v>
      </c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7"/>
      <c r="AA207" s="26"/>
      <c r="AB207" s="27"/>
    </row>
    <row r="208" spans="1:28" ht="15.75" customHeight="1">
      <c r="A208" s="79" t="s">
        <v>349</v>
      </c>
      <c r="B208" s="80" t="s">
        <v>350</v>
      </c>
      <c r="C208" s="90">
        <v>0.0465</v>
      </c>
      <c r="D208" s="75">
        <v>20000</v>
      </c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6">
        <v>2000</v>
      </c>
      <c r="U208" s="45"/>
      <c r="V208" s="45"/>
      <c r="W208" s="45"/>
      <c r="X208" s="45"/>
      <c r="Y208" s="45"/>
      <c r="Z208" s="47"/>
      <c r="AA208" s="26"/>
      <c r="AB208" s="27"/>
    </row>
    <row r="209" spans="1:28" ht="15.75" customHeight="1">
      <c r="A209" s="79" t="s">
        <v>351</v>
      </c>
      <c r="B209" s="80" t="s">
        <v>352</v>
      </c>
      <c r="C209" s="90">
        <v>0.093</v>
      </c>
      <c r="D209" s="75">
        <v>40000</v>
      </c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6">
        <v>16000</v>
      </c>
      <c r="T209" s="45"/>
      <c r="U209" s="46">
        <v>40000</v>
      </c>
      <c r="V209" s="45"/>
      <c r="W209" s="45"/>
      <c r="X209" s="45"/>
      <c r="Y209" s="45"/>
      <c r="Z209" s="47"/>
      <c r="AA209" s="26"/>
      <c r="AB209" s="27"/>
    </row>
    <row r="210" spans="1:28" ht="16.5">
      <c r="A210" s="79" t="s">
        <v>353</v>
      </c>
      <c r="B210" s="80" t="s">
        <v>354</v>
      </c>
      <c r="C210" s="90">
        <v>0.093</v>
      </c>
      <c r="D210" s="75">
        <v>40000</v>
      </c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6">
        <v>16000</v>
      </c>
      <c r="T210" s="45"/>
      <c r="U210" s="46">
        <v>40000</v>
      </c>
      <c r="V210" s="45"/>
      <c r="W210" s="45"/>
      <c r="X210" s="45"/>
      <c r="Y210" s="45"/>
      <c r="Z210" s="47"/>
      <c r="AA210" s="26"/>
      <c r="AB210" s="27"/>
    </row>
    <row r="211" spans="1:28" ht="16.5">
      <c r="A211" s="79" t="s">
        <v>355</v>
      </c>
      <c r="B211" s="80" t="s">
        <v>356</v>
      </c>
      <c r="C211" s="90">
        <v>0.0349</v>
      </c>
      <c r="D211" s="75">
        <v>15000</v>
      </c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6">
        <v>15000</v>
      </c>
      <c r="V211" s="45"/>
      <c r="W211" s="45"/>
      <c r="X211" s="45"/>
      <c r="Y211" s="45"/>
      <c r="Z211" s="47"/>
      <c r="AA211" s="26"/>
      <c r="AB211" s="27"/>
    </row>
    <row r="212" spans="1:28" ht="16.5">
      <c r="A212" s="79" t="s">
        <v>357</v>
      </c>
      <c r="B212" s="80" t="s">
        <v>358</v>
      </c>
      <c r="C212" s="90">
        <v>0.0349</v>
      </c>
      <c r="D212" s="75">
        <v>15000</v>
      </c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6">
        <v>6000</v>
      </c>
      <c r="U212" s="45"/>
      <c r="V212" s="45"/>
      <c r="W212" s="45"/>
      <c r="X212" s="45"/>
      <c r="Y212" s="45"/>
      <c r="Z212" s="47"/>
      <c r="AA212" s="26"/>
      <c r="AB212" s="27"/>
    </row>
    <row r="213" spans="1:28" ht="16.5">
      <c r="A213" s="79" t="s">
        <v>359</v>
      </c>
      <c r="B213" s="80" t="s">
        <v>360</v>
      </c>
      <c r="C213" s="90">
        <v>0.0256</v>
      </c>
      <c r="D213" s="75">
        <v>11000</v>
      </c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6">
        <v>4400</v>
      </c>
      <c r="U213" s="45"/>
      <c r="V213" s="45"/>
      <c r="W213" s="45"/>
      <c r="X213" s="45"/>
      <c r="Y213" s="45"/>
      <c r="Z213" s="47"/>
      <c r="AA213" s="26"/>
      <c r="AB213" s="27"/>
    </row>
    <row r="214" spans="1:28" ht="16.5">
      <c r="A214" s="79" t="s">
        <v>361</v>
      </c>
      <c r="B214" s="80" t="s">
        <v>362</v>
      </c>
      <c r="C214" s="90">
        <v>0.086</v>
      </c>
      <c r="D214" s="75">
        <v>37000</v>
      </c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6">
        <v>37000</v>
      </c>
      <c r="V214" s="45"/>
      <c r="W214" s="45"/>
      <c r="X214" s="45"/>
      <c r="Y214" s="45"/>
      <c r="Z214" s="47"/>
      <c r="AA214" s="26"/>
      <c r="AB214" s="27"/>
    </row>
    <row r="215" spans="1:28" ht="16.5">
      <c r="A215" s="79" t="s">
        <v>363</v>
      </c>
      <c r="B215" s="80" t="s">
        <v>364</v>
      </c>
      <c r="C215" s="90">
        <v>0.0209</v>
      </c>
      <c r="D215" s="75">
        <v>9000</v>
      </c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6">
        <v>9000</v>
      </c>
      <c r="T215" s="45"/>
      <c r="U215" s="45"/>
      <c r="V215" s="45"/>
      <c r="W215" s="45"/>
      <c r="X215" s="45"/>
      <c r="Y215" s="45"/>
      <c r="Z215" s="47"/>
      <c r="AA215" s="26"/>
      <c r="AB215" s="27"/>
    </row>
    <row r="216" spans="1:28" ht="16.5">
      <c r="A216" s="79" t="s">
        <v>365</v>
      </c>
      <c r="B216" s="80" t="s">
        <v>366</v>
      </c>
      <c r="C216" s="90">
        <v>0.1047</v>
      </c>
      <c r="D216" s="75">
        <v>45000</v>
      </c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6">
        <v>45000</v>
      </c>
      <c r="T216" s="46">
        <v>36000</v>
      </c>
      <c r="U216" s="45"/>
      <c r="V216" s="45"/>
      <c r="W216" s="45"/>
      <c r="X216" s="45"/>
      <c r="Y216" s="45"/>
      <c r="Z216" s="47"/>
      <c r="AA216" s="26"/>
      <c r="AB216" s="27"/>
    </row>
    <row r="217" spans="1:28" ht="16.5">
      <c r="A217" s="79" t="s">
        <v>367</v>
      </c>
      <c r="B217" s="80" t="s">
        <v>368</v>
      </c>
      <c r="C217" s="90">
        <v>0.0512</v>
      </c>
      <c r="D217" s="75">
        <v>22000</v>
      </c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6">
        <v>8800</v>
      </c>
      <c r="T217" s="46">
        <v>13200</v>
      </c>
      <c r="U217" s="46">
        <v>8800</v>
      </c>
      <c r="V217" s="45"/>
      <c r="W217" s="45"/>
      <c r="X217" s="45"/>
      <c r="Y217" s="45"/>
      <c r="Z217" s="47"/>
      <c r="AA217" s="26"/>
      <c r="AB217" s="27"/>
    </row>
    <row r="218" spans="1:28" ht="16.5">
      <c r="A218" s="79" t="s">
        <v>369</v>
      </c>
      <c r="B218" s="80" t="s">
        <v>370</v>
      </c>
      <c r="C218" s="90">
        <v>0.0163</v>
      </c>
      <c r="D218" s="75">
        <v>7000</v>
      </c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6">
        <v>7000</v>
      </c>
      <c r="U218" s="45"/>
      <c r="V218" s="45"/>
      <c r="W218" s="45"/>
      <c r="X218" s="45"/>
      <c r="Y218" s="45"/>
      <c r="Z218" s="47"/>
      <c r="AA218" s="26"/>
      <c r="AB218" s="27"/>
    </row>
    <row r="219" spans="1:28" ht="16.5">
      <c r="A219" s="79" t="s">
        <v>371</v>
      </c>
      <c r="B219" s="80" t="s">
        <v>328</v>
      </c>
      <c r="C219" s="90">
        <v>0.0419</v>
      </c>
      <c r="D219" s="75">
        <v>18000</v>
      </c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6">
        <v>18000</v>
      </c>
      <c r="V219" s="45"/>
      <c r="W219" s="45"/>
      <c r="X219" s="45"/>
      <c r="Y219" s="45"/>
      <c r="Z219" s="47"/>
      <c r="AA219" s="26"/>
      <c r="AB219" s="27"/>
    </row>
    <row r="220" spans="1:28" ht="16.5">
      <c r="A220" s="79" t="s">
        <v>372</v>
      </c>
      <c r="B220" s="80" t="s">
        <v>373</v>
      </c>
      <c r="C220" s="90">
        <v>0.0163</v>
      </c>
      <c r="D220" s="75">
        <v>7000</v>
      </c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6">
        <v>7000</v>
      </c>
      <c r="V220" s="45"/>
      <c r="W220" s="45"/>
      <c r="X220" s="45"/>
      <c r="Y220" s="45"/>
      <c r="Z220" s="47"/>
      <c r="AA220" s="26"/>
      <c r="AB220" s="27"/>
    </row>
    <row r="221" spans="1:28" ht="16.5">
      <c r="A221" s="79" t="s">
        <v>374</v>
      </c>
      <c r="B221" s="80" t="s">
        <v>375</v>
      </c>
      <c r="C221" s="90">
        <v>0.0814</v>
      </c>
      <c r="D221" s="75">
        <v>35000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6">
        <v>35000</v>
      </c>
      <c r="U221" s="45"/>
      <c r="V221" s="45"/>
      <c r="W221" s="45"/>
      <c r="X221" s="45"/>
      <c r="Y221" s="45"/>
      <c r="Z221" s="47"/>
      <c r="AA221" s="26"/>
      <c r="AB221" s="27"/>
    </row>
    <row r="222" spans="1:28" ht="16.5">
      <c r="A222" s="79" t="s">
        <v>376</v>
      </c>
      <c r="B222" s="80" t="s">
        <v>377</v>
      </c>
      <c r="C222" s="90">
        <v>0.033</v>
      </c>
      <c r="D222" s="75">
        <v>14200</v>
      </c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7"/>
      <c r="AA222" s="26"/>
      <c r="AB222" s="27"/>
    </row>
    <row r="223" spans="1:28" ht="16.5">
      <c r="A223" s="79" t="s">
        <v>378</v>
      </c>
      <c r="B223" s="80" t="s">
        <v>379</v>
      </c>
      <c r="C223" s="90">
        <v>0.0419</v>
      </c>
      <c r="D223" s="75">
        <v>18000</v>
      </c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7"/>
      <c r="AA223" s="26"/>
      <c r="AB223" s="27"/>
    </row>
    <row r="224" spans="1:28" ht="16.5">
      <c r="A224" s="79" t="s">
        <v>380</v>
      </c>
      <c r="B224" s="80" t="s">
        <v>381</v>
      </c>
      <c r="C224" s="90">
        <v>0.0581</v>
      </c>
      <c r="D224" s="75">
        <v>25000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6">
        <v>25000</v>
      </c>
      <c r="V224" s="45"/>
      <c r="W224" s="45"/>
      <c r="X224" s="45"/>
      <c r="Y224" s="45"/>
      <c r="Z224" s="47"/>
      <c r="AA224" s="26"/>
      <c r="AB224" s="27"/>
    </row>
    <row r="225" spans="1:28" ht="16.5">
      <c r="A225" s="79" t="s">
        <v>382</v>
      </c>
      <c r="B225" s="80" t="s">
        <v>383</v>
      </c>
      <c r="C225" s="90">
        <v>0.0507</v>
      </c>
      <c r="D225" s="75">
        <v>21800</v>
      </c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6">
        <v>21800</v>
      </c>
      <c r="V225" s="45"/>
      <c r="W225" s="45"/>
      <c r="X225" s="45"/>
      <c r="Y225" s="45"/>
      <c r="Z225" s="47"/>
      <c r="AA225" s="26"/>
      <c r="AB225" s="27"/>
    </row>
    <row r="226" spans="1:28" ht="16.5">
      <c r="A226" s="79" t="s">
        <v>384</v>
      </c>
      <c r="B226" s="80" t="s">
        <v>385</v>
      </c>
      <c r="C226" s="90">
        <v>0.11</v>
      </c>
      <c r="D226" s="75">
        <v>121172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6">
        <v>37000</v>
      </c>
      <c r="T226" s="45"/>
      <c r="U226" s="45"/>
      <c r="V226" s="45"/>
      <c r="W226" s="45"/>
      <c r="X226" s="45"/>
      <c r="Y226" s="45"/>
      <c r="Z226" s="47"/>
      <c r="AA226" s="26"/>
      <c r="AB226" s="27"/>
    </row>
    <row r="227" spans="1:28" ht="16.5">
      <c r="A227" s="79" t="s">
        <v>386</v>
      </c>
      <c r="B227" s="80" t="s">
        <v>387</v>
      </c>
      <c r="C227" s="90">
        <v>0.0289</v>
      </c>
      <c r="D227" s="75">
        <v>3500</v>
      </c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6">
        <v>3500</v>
      </c>
      <c r="T227" s="45"/>
      <c r="U227" s="45"/>
      <c r="V227" s="45"/>
      <c r="W227" s="45"/>
      <c r="X227" s="45"/>
      <c r="Y227" s="45"/>
      <c r="Z227" s="47"/>
      <c r="AA227" s="26"/>
      <c r="AB227" s="27"/>
    </row>
    <row r="228" spans="1:28" ht="16.5">
      <c r="A228" s="79" t="s">
        <v>388</v>
      </c>
      <c r="B228" s="80" t="s">
        <v>389</v>
      </c>
      <c r="C228" s="90">
        <v>0.1444</v>
      </c>
      <c r="D228" s="75">
        <v>17500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6">
        <v>17500</v>
      </c>
      <c r="T228" s="45"/>
      <c r="U228" s="45"/>
      <c r="V228" s="45"/>
      <c r="W228" s="45"/>
      <c r="X228" s="45"/>
      <c r="Y228" s="45"/>
      <c r="Z228" s="47"/>
      <c r="AA228" s="26"/>
      <c r="AB228" s="27"/>
    </row>
    <row r="229" spans="1:28" ht="16.5">
      <c r="A229" s="79" t="s">
        <v>390</v>
      </c>
      <c r="B229" s="80" t="s">
        <v>391</v>
      </c>
      <c r="C229" s="90">
        <v>0.033</v>
      </c>
      <c r="D229" s="75">
        <v>4000</v>
      </c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6">
        <v>4000</v>
      </c>
      <c r="T229" s="45"/>
      <c r="U229" s="45"/>
      <c r="V229" s="45"/>
      <c r="W229" s="45"/>
      <c r="X229" s="45"/>
      <c r="Y229" s="45"/>
      <c r="Z229" s="47"/>
      <c r="AA229" s="26"/>
      <c r="AB229" s="27"/>
    </row>
    <row r="230" spans="1:28" ht="33">
      <c r="A230" s="79" t="s">
        <v>392</v>
      </c>
      <c r="B230" s="80" t="s">
        <v>393</v>
      </c>
      <c r="C230" s="90">
        <v>0.099</v>
      </c>
      <c r="D230" s="75">
        <v>12000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6">
        <v>12000</v>
      </c>
      <c r="T230" s="45"/>
      <c r="U230" s="45"/>
      <c r="V230" s="45"/>
      <c r="W230" s="45"/>
      <c r="X230" s="45"/>
      <c r="Y230" s="45"/>
      <c r="Z230" s="47"/>
      <c r="AA230" s="26"/>
      <c r="AB230" s="27"/>
    </row>
    <row r="231" spans="1:28" ht="16.5">
      <c r="A231" s="79" t="s">
        <v>394</v>
      </c>
      <c r="B231" s="80" t="s">
        <v>395</v>
      </c>
      <c r="C231" s="90">
        <v>0.0578</v>
      </c>
      <c r="D231" s="75">
        <v>7000</v>
      </c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7"/>
      <c r="AA231" s="26"/>
      <c r="AB231" s="27"/>
    </row>
    <row r="232" spans="1:28" ht="16.5">
      <c r="A232" s="79" t="s">
        <v>396</v>
      </c>
      <c r="B232" s="80" t="s">
        <v>397</v>
      </c>
      <c r="C232" s="90">
        <v>0.0578</v>
      </c>
      <c r="D232" s="75">
        <v>7000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7"/>
      <c r="AA232" s="26"/>
      <c r="AB232" s="27"/>
    </row>
    <row r="233" spans="1:28" ht="16.5">
      <c r="A233" s="79" t="s">
        <v>398</v>
      </c>
      <c r="B233" s="80" t="s">
        <v>399</v>
      </c>
      <c r="C233" s="90">
        <v>0.0839</v>
      </c>
      <c r="D233" s="75">
        <v>10173</v>
      </c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6">
        <v>10173</v>
      </c>
      <c r="U233" s="45"/>
      <c r="V233" s="45"/>
      <c r="W233" s="45"/>
      <c r="X233" s="45"/>
      <c r="Y233" s="45"/>
      <c r="Z233" s="47"/>
      <c r="AA233" s="26"/>
      <c r="AB233" s="27"/>
    </row>
    <row r="234" spans="1:28" ht="16.5">
      <c r="A234" s="79" t="s">
        <v>400</v>
      </c>
      <c r="B234" s="80" t="s">
        <v>401</v>
      </c>
      <c r="C234" s="90">
        <v>0.2063</v>
      </c>
      <c r="D234" s="75">
        <v>25000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6">
        <v>25000</v>
      </c>
      <c r="U234" s="45"/>
      <c r="V234" s="45"/>
      <c r="W234" s="45"/>
      <c r="X234" s="45"/>
      <c r="Y234" s="45"/>
      <c r="Z234" s="47"/>
      <c r="AA234" s="26"/>
      <c r="AB234" s="27"/>
    </row>
    <row r="235" spans="1:28" ht="16.5">
      <c r="A235" s="79" t="s">
        <v>402</v>
      </c>
      <c r="B235" s="80" t="s">
        <v>403</v>
      </c>
      <c r="C235" s="90">
        <v>0.0825</v>
      </c>
      <c r="D235" s="75">
        <v>10000</v>
      </c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6">
        <v>10000</v>
      </c>
      <c r="U235" s="45"/>
      <c r="V235" s="45"/>
      <c r="W235" s="45"/>
      <c r="X235" s="45"/>
      <c r="Y235" s="45"/>
      <c r="Z235" s="47"/>
      <c r="AA235" s="26"/>
      <c r="AB235" s="27"/>
    </row>
    <row r="236" spans="1:28" ht="33">
      <c r="A236" s="79" t="s">
        <v>404</v>
      </c>
      <c r="B236" s="80" t="s">
        <v>405</v>
      </c>
      <c r="C236" s="90">
        <v>0.2063</v>
      </c>
      <c r="D236" s="75">
        <v>25000</v>
      </c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6">
        <v>25000</v>
      </c>
      <c r="V236" s="45"/>
      <c r="W236" s="45"/>
      <c r="X236" s="45"/>
      <c r="Y236" s="45"/>
      <c r="Z236" s="47"/>
      <c r="AA236" s="26"/>
      <c r="AB236" s="27"/>
    </row>
    <row r="237" spans="1:256" ht="16.5">
      <c r="A237" s="35">
        <v>2</v>
      </c>
      <c r="B237" s="64" t="s">
        <v>406</v>
      </c>
      <c r="C237" s="61">
        <v>0.31</v>
      </c>
      <c r="D237" s="60">
        <v>1293041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6">
        <f>R238+R241+R246</f>
        <v>501216</v>
      </c>
      <c r="S237" s="46">
        <f>S238+S241+S246</f>
        <v>573868</v>
      </c>
      <c r="T237" s="39"/>
      <c r="U237" s="39"/>
      <c r="V237" s="39"/>
      <c r="W237" s="39"/>
      <c r="X237" s="39"/>
      <c r="Y237" s="39"/>
      <c r="Z237" s="40"/>
      <c r="AA237" s="26"/>
      <c r="AB237" s="27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  <c r="IV237" s="34"/>
    </row>
    <row r="238" spans="1:28" ht="16.5">
      <c r="A238" s="78" t="s">
        <v>62</v>
      </c>
      <c r="B238" s="53" t="s">
        <v>407</v>
      </c>
      <c r="C238" s="61">
        <v>0.25</v>
      </c>
      <c r="D238" s="74">
        <v>323260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6">
        <f>R239+R240</f>
        <v>129304</v>
      </c>
      <c r="S238" s="46">
        <v>193956</v>
      </c>
      <c r="T238" s="39"/>
      <c r="U238" s="39"/>
      <c r="V238" s="39"/>
      <c r="W238" s="39"/>
      <c r="X238" s="39"/>
      <c r="Y238" s="39"/>
      <c r="Z238" s="40"/>
      <c r="AA238" s="26"/>
      <c r="AB238" s="27"/>
    </row>
    <row r="239" spans="1:28" ht="16.5">
      <c r="A239" s="79" t="s">
        <v>408</v>
      </c>
      <c r="B239" s="80" t="s">
        <v>409</v>
      </c>
      <c r="C239" s="68">
        <v>0.3102</v>
      </c>
      <c r="D239" s="75">
        <v>100260</v>
      </c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6">
        <v>40104</v>
      </c>
      <c r="S239" s="46">
        <v>60156</v>
      </c>
      <c r="T239" s="45"/>
      <c r="U239" s="45"/>
      <c r="V239" s="45"/>
      <c r="W239" s="45"/>
      <c r="X239" s="45"/>
      <c r="Y239" s="45"/>
      <c r="Z239" s="47"/>
      <c r="AA239" s="26"/>
      <c r="AB239" s="27"/>
    </row>
    <row r="240" spans="1:28" ht="16.5">
      <c r="A240" s="79" t="s">
        <v>410</v>
      </c>
      <c r="B240" s="80" t="s">
        <v>411</v>
      </c>
      <c r="C240" s="68">
        <v>0.6898</v>
      </c>
      <c r="D240" s="75">
        <v>223000</v>
      </c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6">
        <v>89200</v>
      </c>
      <c r="S240" s="46">
        <v>133800</v>
      </c>
      <c r="T240" s="45"/>
      <c r="U240" s="45"/>
      <c r="V240" s="45"/>
      <c r="W240" s="45"/>
      <c r="X240" s="45"/>
      <c r="Y240" s="45"/>
      <c r="Z240" s="47"/>
      <c r="AA240" s="26"/>
      <c r="AB240" s="27"/>
    </row>
    <row r="241" spans="1:28" ht="16.5">
      <c r="A241" s="78" t="s">
        <v>64</v>
      </c>
      <c r="B241" s="53" t="s">
        <v>412</v>
      </c>
      <c r="C241" s="61">
        <v>0.4</v>
      </c>
      <c r="D241" s="74">
        <v>517216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6">
        <f>SUM(R242:R245)</f>
        <v>206886.4</v>
      </c>
      <c r="S241" s="46">
        <v>206886.4</v>
      </c>
      <c r="T241" s="39"/>
      <c r="U241" s="39"/>
      <c r="V241" s="39"/>
      <c r="W241" s="39"/>
      <c r="X241" s="39"/>
      <c r="Y241" s="39"/>
      <c r="Z241" s="40"/>
      <c r="AA241" s="26"/>
      <c r="AB241" s="27"/>
    </row>
    <row r="242" spans="1:28" ht="16.5">
      <c r="A242" s="79" t="s">
        <v>132</v>
      </c>
      <c r="B242" s="80" t="s">
        <v>413</v>
      </c>
      <c r="C242" s="68">
        <v>0.27</v>
      </c>
      <c r="D242" s="75">
        <v>140000</v>
      </c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6">
        <v>56000</v>
      </c>
      <c r="S242" s="46">
        <v>56000</v>
      </c>
      <c r="T242" s="45"/>
      <c r="U242" s="45"/>
      <c r="V242" s="45"/>
      <c r="W242" s="45"/>
      <c r="X242" s="45"/>
      <c r="Y242" s="45"/>
      <c r="Z242" s="47"/>
      <c r="AA242" s="26"/>
      <c r="AB242" s="27"/>
    </row>
    <row r="243" spans="1:28" ht="16.5">
      <c r="A243" s="79" t="s">
        <v>134</v>
      </c>
      <c r="B243" s="80" t="s">
        <v>414</v>
      </c>
      <c r="C243" s="68">
        <v>0.39</v>
      </c>
      <c r="D243" s="75">
        <v>201216</v>
      </c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6">
        <v>80486.4</v>
      </c>
      <c r="S243" s="46">
        <v>80486.4</v>
      </c>
      <c r="T243" s="45"/>
      <c r="U243" s="45"/>
      <c r="V243" s="45"/>
      <c r="W243" s="45"/>
      <c r="X243" s="45"/>
      <c r="Y243" s="45"/>
      <c r="Z243" s="47"/>
      <c r="AA243" s="26"/>
      <c r="AB243" s="27"/>
    </row>
    <row r="244" spans="1:28" ht="16.5">
      <c r="A244" s="79" t="s">
        <v>415</v>
      </c>
      <c r="B244" s="80" t="s">
        <v>416</v>
      </c>
      <c r="C244" s="68">
        <v>0.19</v>
      </c>
      <c r="D244" s="75">
        <v>96000</v>
      </c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6">
        <v>38400</v>
      </c>
      <c r="S244" s="46">
        <v>38400</v>
      </c>
      <c r="T244" s="45"/>
      <c r="U244" s="45"/>
      <c r="V244" s="45"/>
      <c r="W244" s="45"/>
      <c r="X244" s="45"/>
      <c r="Y244" s="45"/>
      <c r="Z244" s="47"/>
      <c r="AA244" s="26"/>
      <c r="AB244" s="27"/>
    </row>
    <row r="245" spans="1:28" ht="16.5">
      <c r="A245" s="79" t="s">
        <v>417</v>
      </c>
      <c r="B245" s="80" t="s">
        <v>418</v>
      </c>
      <c r="C245" s="68">
        <v>0.15</v>
      </c>
      <c r="D245" s="75">
        <v>80000</v>
      </c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6">
        <v>32000</v>
      </c>
      <c r="S245" s="46">
        <v>32000</v>
      </c>
      <c r="T245" s="45"/>
      <c r="U245" s="45"/>
      <c r="V245" s="45"/>
      <c r="W245" s="45"/>
      <c r="X245" s="45"/>
      <c r="Y245" s="45"/>
      <c r="Z245" s="47"/>
      <c r="AA245" s="26"/>
      <c r="AB245" s="27"/>
    </row>
    <row r="246" spans="1:28" ht="16.5">
      <c r="A246" s="78" t="s">
        <v>66</v>
      </c>
      <c r="B246" s="53" t="s">
        <v>419</v>
      </c>
      <c r="C246" s="61">
        <v>0.35</v>
      </c>
      <c r="D246" s="74">
        <v>452565</v>
      </c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6">
        <f>R247+R249</f>
        <v>165025.6</v>
      </c>
      <c r="S246" s="46">
        <v>173025.6</v>
      </c>
      <c r="T246" s="39"/>
      <c r="U246" s="39"/>
      <c r="V246" s="39"/>
      <c r="W246" s="39"/>
      <c r="X246" s="39"/>
      <c r="Y246" s="39"/>
      <c r="Z246" s="40"/>
      <c r="AA246" s="26"/>
      <c r="AB246" s="27"/>
    </row>
    <row r="247" spans="1:28" ht="16.5">
      <c r="A247" s="79" t="s">
        <v>137</v>
      </c>
      <c r="B247" s="80" t="s">
        <v>420</v>
      </c>
      <c r="C247" s="68">
        <v>0.8176</v>
      </c>
      <c r="D247" s="75">
        <v>370000</v>
      </c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>
        <v>148000</v>
      </c>
      <c r="S247" s="46">
        <v>148000</v>
      </c>
      <c r="T247" s="45"/>
      <c r="U247" s="45"/>
      <c r="V247" s="45"/>
      <c r="W247" s="45"/>
      <c r="X247" s="45"/>
      <c r="Y247" s="45"/>
      <c r="Z247" s="47"/>
      <c r="AA247" s="26"/>
      <c r="AB247" s="27"/>
    </row>
    <row r="248" spans="1:28" ht="16.5">
      <c r="A248" s="79" t="s">
        <v>139</v>
      </c>
      <c r="B248" s="80" t="s">
        <v>421</v>
      </c>
      <c r="C248" s="68">
        <v>0.0884</v>
      </c>
      <c r="D248" s="75">
        <v>40000</v>
      </c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6">
        <v>8000</v>
      </c>
      <c r="T248" s="46">
        <f>D248</f>
        <v>40000</v>
      </c>
      <c r="U248" s="45"/>
      <c r="V248" s="45"/>
      <c r="W248" s="45"/>
      <c r="X248" s="45"/>
      <c r="Y248" s="45"/>
      <c r="Z248" s="47"/>
      <c r="AA248" s="26"/>
      <c r="AB248" s="27"/>
    </row>
    <row r="249" spans="1:28" ht="16.5">
      <c r="A249" s="79" t="s">
        <v>422</v>
      </c>
      <c r="B249" s="80" t="s">
        <v>423</v>
      </c>
      <c r="C249" s="68">
        <v>0.0941</v>
      </c>
      <c r="D249" s="75">
        <v>42564</v>
      </c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6">
        <v>17025.6</v>
      </c>
      <c r="S249" s="46">
        <v>17025.6</v>
      </c>
      <c r="T249" s="45"/>
      <c r="U249" s="45"/>
      <c r="V249" s="45"/>
      <c r="W249" s="45"/>
      <c r="X249" s="45"/>
      <c r="Y249" s="45"/>
      <c r="Z249" s="47"/>
      <c r="AA249" s="26"/>
      <c r="AB249" s="27"/>
    </row>
    <row r="250" spans="1:256" ht="33">
      <c r="A250" s="35">
        <v>3</v>
      </c>
      <c r="B250" s="64" t="s">
        <v>424</v>
      </c>
      <c r="C250" s="61">
        <v>0.01</v>
      </c>
      <c r="D250" s="60">
        <v>41711</v>
      </c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0"/>
      <c r="AA250" s="26"/>
      <c r="AB250" s="27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  <c r="IV250" s="34"/>
    </row>
    <row r="251" spans="1:28" ht="16.5">
      <c r="A251" s="35" t="s">
        <v>71</v>
      </c>
      <c r="B251" s="66" t="s">
        <v>425</v>
      </c>
      <c r="C251" s="61">
        <v>1</v>
      </c>
      <c r="D251" s="60">
        <v>41717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46">
        <v>41711</v>
      </c>
      <c r="V251" s="39"/>
      <c r="W251" s="39"/>
      <c r="X251" s="39"/>
      <c r="Y251" s="39"/>
      <c r="Z251" s="40"/>
      <c r="AA251" s="26"/>
      <c r="AB251" s="27"/>
    </row>
    <row r="252" spans="1:256" ht="33">
      <c r="A252" s="35">
        <v>4</v>
      </c>
      <c r="B252" s="64" t="s">
        <v>426</v>
      </c>
      <c r="C252" s="61">
        <v>0.06</v>
      </c>
      <c r="D252" s="60">
        <v>250266</v>
      </c>
      <c r="E252" s="39"/>
      <c r="F252" s="39"/>
      <c r="G252" s="39"/>
      <c r="H252" s="39"/>
      <c r="I252" s="39"/>
      <c r="J252" s="39"/>
      <c r="K252" s="39"/>
      <c r="L252" s="52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0"/>
      <c r="AA252" s="26"/>
      <c r="AB252" s="27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  <c r="IV252" s="34"/>
    </row>
    <row r="253" spans="1:28" ht="16.5">
      <c r="A253" s="35" t="s">
        <v>269</v>
      </c>
      <c r="B253" s="53" t="s">
        <v>427</v>
      </c>
      <c r="C253" s="61">
        <v>0.0799</v>
      </c>
      <c r="D253" s="74">
        <v>20000</v>
      </c>
      <c r="E253" s="39"/>
      <c r="F253" s="39"/>
      <c r="G253" s="39"/>
      <c r="H253" s="39"/>
      <c r="I253" s="39"/>
      <c r="J253" s="39"/>
      <c r="K253" s="39"/>
      <c r="L253" s="52"/>
      <c r="M253" s="39"/>
      <c r="N253" s="39"/>
      <c r="O253" s="39"/>
      <c r="P253" s="39"/>
      <c r="Q253" s="39"/>
      <c r="R253" s="39"/>
      <c r="S253" s="39"/>
      <c r="T253" s="39"/>
      <c r="U253" s="46">
        <f aca="true" t="shared" si="2" ref="U253:U257">D253*0.2</f>
        <v>4000</v>
      </c>
      <c r="V253" s="39"/>
      <c r="W253" s="39"/>
      <c r="X253" s="39"/>
      <c r="Y253" s="39"/>
      <c r="Z253" s="40"/>
      <c r="AA253" s="26"/>
      <c r="AB253" s="27"/>
    </row>
    <row r="254" spans="1:28" ht="16.5">
      <c r="A254" s="35" t="s">
        <v>271</v>
      </c>
      <c r="B254" s="53" t="s">
        <v>428</v>
      </c>
      <c r="C254" s="61">
        <v>0.3197</v>
      </c>
      <c r="D254" s="74">
        <v>80000</v>
      </c>
      <c r="E254" s="39"/>
      <c r="F254" s="39"/>
      <c r="G254" s="39"/>
      <c r="H254" s="39"/>
      <c r="I254" s="39"/>
      <c r="J254" s="39"/>
      <c r="K254" s="39"/>
      <c r="L254" s="52"/>
      <c r="M254" s="39"/>
      <c r="N254" s="39"/>
      <c r="O254" s="39"/>
      <c r="P254" s="39"/>
      <c r="Q254" s="39"/>
      <c r="R254" s="39"/>
      <c r="S254" s="39"/>
      <c r="T254" s="39"/>
      <c r="U254" s="46">
        <f t="shared" si="2"/>
        <v>16000</v>
      </c>
      <c r="V254" s="39"/>
      <c r="W254" s="39"/>
      <c r="X254" s="39"/>
      <c r="Y254" s="39"/>
      <c r="Z254" s="40"/>
      <c r="AA254" s="26"/>
      <c r="AB254" s="27"/>
    </row>
    <row r="255" spans="1:28" ht="33">
      <c r="A255" s="35" t="s">
        <v>429</v>
      </c>
      <c r="B255" s="53" t="s">
        <v>430</v>
      </c>
      <c r="C255" s="61">
        <v>0.5205</v>
      </c>
      <c r="D255" s="74">
        <v>130266</v>
      </c>
      <c r="E255" s="39"/>
      <c r="F255" s="39"/>
      <c r="G255" s="39"/>
      <c r="H255" s="39"/>
      <c r="I255" s="39"/>
      <c r="J255" s="39"/>
      <c r="K255" s="39"/>
      <c r="L255" s="52"/>
      <c r="M255" s="39"/>
      <c r="N255" s="39"/>
      <c r="O255" s="39"/>
      <c r="P255" s="39"/>
      <c r="Q255" s="39"/>
      <c r="R255" s="39"/>
      <c r="S255" s="39"/>
      <c r="T255" s="39"/>
      <c r="U255" s="46">
        <f t="shared" si="2"/>
        <v>26053.2</v>
      </c>
      <c r="V255" s="39"/>
      <c r="W255" s="39"/>
      <c r="X255" s="39"/>
      <c r="Y255" s="39"/>
      <c r="Z255" s="40"/>
      <c r="AA255" s="26"/>
      <c r="AB255" s="27"/>
    </row>
    <row r="256" spans="1:28" ht="16.5">
      <c r="A256" s="35" t="s">
        <v>431</v>
      </c>
      <c r="B256" s="53" t="s">
        <v>432</v>
      </c>
      <c r="C256" s="61">
        <v>0.0599</v>
      </c>
      <c r="D256" s="74">
        <v>15000</v>
      </c>
      <c r="E256" s="39"/>
      <c r="F256" s="39"/>
      <c r="G256" s="39"/>
      <c r="H256" s="39"/>
      <c r="I256" s="39"/>
      <c r="J256" s="39"/>
      <c r="K256" s="39"/>
      <c r="L256" s="52"/>
      <c r="M256" s="39"/>
      <c r="N256" s="39"/>
      <c r="O256" s="39"/>
      <c r="P256" s="39"/>
      <c r="Q256" s="39"/>
      <c r="R256" s="39"/>
      <c r="S256" s="39"/>
      <c r="T256" s="39"/>
      <c r="U256" s="46">
        <f t="shared" si="2"/>
        <v>3000</v>
      </c>
      <c r="V256" s="39"/>
      <c r="W256" s="39"/>
      <c r="X256" s="39"/>
      <c r="Y256" s="39"/>
      <c r="Z256" s="40"/>
      <c r="AA256" s="26"/>
      <c r="AB256" s="27"/>
    </row>
    <row r="257" spans="1:28" ht="16.5">
      <c r="A257" s="35" t="s">
        <v>433</v>
      </c>
      <c r="B257" s="53" t="s">
        <v>434</v>
      </c>
      <c r="C257" s="61">
        <v>0.02</v>
      </c>
      <c r="D257" s="74">
        <v>5000</v>
      </c>
      <c r="E257" s="39"/>
      <c r="F257" s="39"/>
      <c r="G257" s="39"/>
      <c r="H257" s="39"/>
      <c r="I257" s="39"/>
      <c r="J257" s="39"/>
      <c r="K257" s="39"/>
      <c r="L257" s="52"/>
      <c r="M257" s="39"/>
      <c r="N257" s="39"/>
      <c r="O257" s="39"/>
      <c r="P257" s="39"/>
      <c r="Q257" s="39"/>
      <c r="R257" s="39"/>
      <c r="S257" s="39"/>
      <c r="T257" s="39"/>
      <c r="U257" s="46">
        <f t="shared" si="2"/>
        <v>1000</v>
      </c>
      <c r="V257" s="39"/>
      <c r="W257" s="39"/>
      <c r="X257" s="39"/>
      <c r="Y257" s="39"/>
      <c r="Z257" s="40"/>
      <c r="AA257" s="26"/>
      <c r="AB257" s="27"/>
    </row>
    <row r="258" spans="1:256" ht="33">
      <c r="A258" s="35">
        <v>5</v>
      </c>
      <c r="B258" s="64" t="s">
        <v>435</v>
      </c>
      <c r="C258" s="61">
        <v>0.1</v>
      </c>
      <c r="D258" s="60">
        <v>417110</v>
      </c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6">
        <f>Q262+Q266+Q267</f>
        <v>52000</v>
      </c>
      <c r="R258" s="46">
        <f>R262+R266+R267+R268</f>
        <v>65000</v>
      </c>
      <c r="S258" s="46">
        <f>S262+S266+S267+S268+S269+S273+S274</f>
        <v>202610</v>
      </c>
      <c r="T258" s="39"/>
      <c r="U258" s="39"/>
      <c r="V258" s="39"/>
      <c r="W258" s="39"/>
      <c r="X258" s="39"/>
      <c r="Y258" s="39"/>
      <c r="Z258" s="40"/>
      <c r="AA258" s="26"/>
      <c r="AB258" s="27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  <c r="IV258" s="34"/>
    </row>
    <row r="259" spans="1:28" ht="16.5">
      <c r="A259" s="78" t="s">
        <v>436</v>
      </c>
      <c r="B259" s="53" t="s">
        <v>407</v>
      </c>
      <c r="C259" s="61">
        <v>0.024</v>
      </c>
      <c r="D259" s="74">
        <v>10000</v>
      </c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46">
        <v>10000</v>
      </c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0"/>
      <c r="AA259" s="26"/>
      <c r="AB259" s="27"/>
    </row>
    <row r="260" spans="1:28" ht="16.5">
      <c r="A260" s="78" t="s">
        <v>437</v>
      </c>
      <c r="B260" s="53" t="s">
        <v>438</v>
      </c>
      <c r="C260" s="61">
        <v>0.0719</v>
      </c>
      <c r="D260" s="74">
        <v>30000</v>
      </c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46">
        <v>6000</v>
      </c>
      <c r="P260" s="46">
        <v>24000</v>
      </c>
      <c r="Q260" s="39"/>
      <c r="R260" s="39"/>
      <c r="S260" s="39"/>
      <c r="T260" s="39"/>
      <c r="U260" s="39"/>
      <c r="V260" s="39"/>
      <c r="W260" s="39"/>
      <c r="X260" s="39"/>
      <c r="Y260" s="39"/>
      <c r="Z260" s="40"/>
      <c r="AA260" s="26"/>
      <c r="AB260" s="27"/>
    </row>
    <row r="261" spans="1:28" ht="33">
      <c r="A261" s="78" t="s">
        <v>439</v>
      </c>
      <c r="B261" s="53" t="s">
        <v>440</v>
      </c>
      <c r="C261" s="61">
        <v>0.0479</v>
      </c>
      <c r="D261" s="74">
        <v>20000</v>
      </c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46">
        <v>20000</v>
      </c>
      <c r="Q261" s="39"/>
      <c r="R261" s="39"/>
      <c r="S261" s="39"/>
      <c r="T261" s="39"/>
      <c r="U261" s="39"/>
      <c r="V261" s="39"/>
      <c r="W261" s="39"/>
      <c r="X261" s="39"/>
      <c r="Y261" s="39"/>
      <c r="Z261" s="40"/>
      <c r="AA261" s="26"/>
      <c r="AB261" s="27"/>
    </row>
    <row r="262" spans="1:28" ht="16.5">
      <c r="A262" s="78" t="s">
        <v>441</v>
      </c>
      <c r="B262" s="53" t="s">
        <v>442</v>
      </c>
      <c r="C262" s="61">
        <v>0.0887</v>
      </c>
      <c r="D262" s="74">
        <f>+D263+D264+D265</f>
        <v>37000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6">
        <v>8000</v>
      </c>
      <c r="R262" s="46">
        <f>R264</f>
        <v>17000</v>
      </c>
      <c r="S262" s="46">
        <v>12000</v>
      </c>
      <c r="T262" s="39"/>
      <c r="U262" s="39"/>
      <c r="V262" s="39"/>
      <c r="W262" s="39"/>
      <c r="X262" s="39"/>
      <c r="Y262" s="39"/>
      <c r="Z262" s="40"/>
      <c r="AA262" s="26"/>
      <c r="AB262" s="27"/>
    </row>
    <row r="263" spans="1:28" ht="16.5">
      <c r="A263" s="79" t="s">
        <v>443</v>
      </c>
      <c r="B263" s="80" t="s">
        <v>133</v>
      </c>
      <c r="C263" s="68">
        <v>0.22</v>
      </c>
      <c r="D263" s="75">
        <v>8000</v>
      </c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6">
        <v>8000</v>
      </c>
      <c r="R263" s="45"/>
      <c r="S263" s="45"/>
      <c r="T263" s="45"/>
      <c r="U263" s="45"/>
      <c r="V263" s="45"/>
      <c r="W263" s="45"/>
      <c r="X263" s="45"/>
      <c r="Y263" s="45"/>
      <c r="Z263" s="47"/>
      <c r="AA263" s="26"/>
      <c r="AB263" s="27"/>
    </row>
    <row r="264" spans="1:28" ht="16.5">
      <c r="A264" s="79" t="s">
        <v>444</v>
      </c>
      <c r="B264" s="80" t="s">
        <v>445</v>
      </c>
      <c r="C264" s="68">
        <v>0.46</v>
      </c>
      <c r="D264" s="75">
        <v>17000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6">
        <v>17000</v>
      </c>
      <c r="S264" s="45"/>
      <c r="T264" s="45"/>
      <c r="U264" s="45"/>
      <c r="V264" s="45"/>
      <c r="W264" s="45"/>
      <c r="X264" s="45"/>
      <c r="Y264" s="45"/>
      <c r="Z264" s="47"/>
      <c r="AA264" s="26"/>
      <c r="AB264" s="27"/>
    </row>
    <row r="265" spans="1:28" ht="16.5">
      <c r="A265" s="79" t="s">
        <v>446</v>
      </c>
      <c r="B265" s="80" t="s">
        <v>447</v>
      </c>
      <c r="C265" s="68">
        <v>0.32</v>
      </c>
      <c r="D265" s="75">
        <v>12000</v>
      </c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6">
        <v>12000</v>
      </c>
      <c r="T265" s="45"/>
      <c r="U265" s="45"/>
      <c r="V265" s="45"/>
      <c r="W265" s="45"/>
      <c r="X265" s="45"/>
      <c r="Y265" s="45"/>
      <c r="Z265" s="47"/>
      <c r="AA265" s="26"/>
      <c r="AB265" s="27"/>
    </row>
    <row r="266" spans="1:28" ht="16.5">
      <c r="A266" s="78" t="s">
        <v>448</v>
      </c>
      <c r="B266" s="53" t="s">
        <v>449</v>
      </c>
      <c r="C266" s="61">
        <v>0.1918</v>
      </c>
      <c r="D266" s="74">
        <v>80000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6">
        <v>32000</v>
      </c>
      <c r="R266" s="46">
        <v>32000</v>
      </c>
      <c r="S266" s="46">
        <v>16000</v>
      </c>
      <c r="T266" s="39"/>
      <c r="U266" s="39"/>
      <c r="V266" s="39"/>
      <c r="W266" s="39"/>
      <c r="X266" s="39"/>
      <c r="Y266" s="39"/>
      <c r="Z266" s="40"/>
      <c r="AA266" s="26"/>
      <c r="AB266" s="27"/>
    </row>
    <row r="267" spans="1:28" ht="16.5">
      <c r="A267" s="78" t="s">
        <v>450</v>
      </c>
      <c r="B267" s="53" t="s">
        <v>451</v>
      </c>
      <c r="C267" s="61">
        <v>0.0479</v>
      </c>
      <c r="D267" s="74">
        <v>20000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6">
        <v>12000</v>
      </c>
      <c r="R267" s="46">
        <v>4000</v>
      </c>
      <c r="S267" s="46">
        <v>4000</v>
      </c>
      <c r="T267" s="39"/>
      <c r="U267" s="39"/>
      <c r="V267" s="39"/>
      <c r="W267" s="39"/>
      <c r="X267" s="39"/>
      <c r="Y267" s="39"/>
      <c r="Z267" s="40"/>
      <c r="AA267" s="26"/>
      <c r="AB267" s="27"/>
    </row>
    <row r="268" spans="1:28" ht="16.5">
      <c r="A268" s="78" t="s">
        <v>452</v>
      </c>
      <c r="B268" s="53" t="s">
        <v>453</v>
      </c>
      <c r="C268" s="61">
        <v>0.036</v>
      </c>
      <c r="D268" s="74">
        <v>15000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6">
        <v>12000</v>
      </c>
      <c r="S268" s="46">
        <v>3000</v>
      </c>
      <c r="T268" s="39"/>
      <c r="U268" s="39"/>
      <c r="V268" s="39"/>
      <c r="W268" s="39"/>
      <c r="X268" s="39"/>
      <c r="Y268" s="39"/>
      <c r="Z268" s="40"/>
      <c r="AA268" s="26"/>
      <c r="AB268" s="27"/>
    </row>
    <row r="269" spans="1:28" ht="16.5">
      <c r="A269" s="78" t="s">
        <v>454</v>
      </c>
      <c r="B269" s="53" t="s">
        <v>455</v>
      </c>
      <c r="C269" s="61">
        <v>0.2016</v>
      </c>
      <c r="D269" s="74">
        <f>+D270+D271+D272</f>
        <v>84110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46">
        <v>84110</v>
      </c>
      <c r="T269" s="39"/>
      <c r="U269" s="39"/>
      <c r="V269" s="39"/>
      <c r="W269" s="39"/>
      <c r="X269" s="39"/>
      <c r="Y269" s="39"/>
      <c r="Z269" s="40"/>
      <c r="AA269" s="26"/>
      <c r="AB269" s="27"/>
    </row>
    <row r="270" spans="1:28" ht="16.5">
      <c r="A270" s="79" t="s">
        <v>456</v>
      </c>
      <c r="B270" s="80" t="s">
        <v>457</v>
      </c>
      <c r="C270" s="68">
        <v>0.4161</v>
      </c>
      <c r="D270" s="75">
        <v>35000</v>
      </c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6">
        <v>35000</v>
      </c>
      <c r="T270" s="45"/>
      <c r="U270" s="45"/>
      <c r="V270" s="45"/>
      <c r="W270" s="45"/>
      <c r="X270" s="45"/>
      <c r="Y270" s="45"/>
      <c r="Z270" s="47"/>
      <c r="AA270" s="26"/>
      <c r="AB270" s="27"/>
    </row>
    <row r="271" spans="1:28" ht="16.5">
      <c r="A271" s="79" t="s">
        <v>458</v>
      </c>
      <c r="B271" s="80" t="s">
        <v>459</v>
      </c>
      <c r="C271" s="68">
        <v>0.2378</v>
      </c>
      <c r="D271" s="75">
        <v>20000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6">
        <v>20000</v>
      </c>
      <c r="T271" s="45"/>
      <c r="U271" s="45"/>
      <c r="V271" s="45"/>
      <c r="W271" s="45"/>
      <c r="X271" s="45"/>
      <c r="Y271" s="45"/>
      <c r="Z271" s="47"/>
      <c r="AA271" s="26"/>
      <c r="AB271" s="27"/>
    </row>
    <row r="272" spans="1:28" ht="16.5">
      <c r="A272" s="79" t="s">
        <v>460</v>
      </c>
      <c r="B272" s="80" t="s">
        <v>461</v>
      </c>
      <c r="C272" s="68">
        <v>0.3461</v>
      </c>
      <c r="D272" s="75">
        <v>29110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6">
        <v>29110</v>
      </c>
      <c r="T272" s="45"/>
      <c r="U272" s="45"/>
      <c r="V272" s="45"/>
      <c r="W272" s="45"/>
      <c r="X272" s="45"/>
      <c r="Y272" s="45"/>
      <c r="Z272" s="47"/>
      <c r="AA272" s="26"/>
      <c r="AB272" s="27"/>
    </row>
    <row r="273" spans="1:28" ht="16.5">
      <c r="A273" s="78" t="s">
        <v>462</v>
      </c>
      <c r="B273" s="53" t="s">
        <v>463</v>
      </c>
      <c r="C273" s="61">
        <v>0.0719</v>
      </c>
      <c r="D273" s="74">
        <v>30000</v>
      </c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46">
        <v>30000</v>
      </c>
      <c r="T273" s="39"/>
      <c r="U273" s="39"/>
      <c r="V273" s="39"/>
      <c r="W273" s="39"/>
      <c r="X273" s="39"/>
      <c r="Y273" s="39"/>
      <c r="Z273" s="40"/>
      <c r="AA273" s="26"/>
      <c r="AB273" s="27"/>
    </row>
    <row r="274" spans="1:28" ht="16.5">
      <c r="A274" s="78" t="s">
        <v>464</v>
      </c>
      <c r="B274" s="53" t="s">
        <v>465</v>
      </c>
      <c r="C274" s="61">
        <v>0.2182</v>
      </c>
      <c r="D274" s="74">
        <f>SUM(D275:D282)</f>
        <v>91000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46">
        <v>53500</v>
      </c>
      <c r="T274" s="39"/>
      <c r="U274" s="39"/>
      <c r="V274" s="39"/>
      <c r="W274" s="39"/>
      <c r="X274" s="39"/>
      <c r="Y274" s="39"/>
      <c r="Z274" s="40"/>
      <c r="AA274" s="26"/>
      <c r="AB274" s="27"/>
    </row>
    <row r="275" spans="1:28" ht="16.5">
      <c r="A275" s="79" t="s">
        <v>466</v>
      </c>
      <c r="B275" s="80" t="s">
        <v>467</v>
      </c>
      <c r="C275" s="68">
        <v>0.1429</v>
      </c>
      <c r="D275" s="75">
        <v>13000</v>
      </c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6">
        <v>13000</v>
      </c>
      <c r="T275" s="45"/>
      <c r="U275" s="45"/>
      <c r="V275" s="45"/>
      <c r="W275" s="45"/>
      <c r="X275" s="45"/>
      <c r="Y275" s="45"/>
      <c r="Z275" s="47"/>
      <c r="AA275" s="26"/>
      <c r="AB275" s="27"/>
    </row>
    <row r="276" spans="1:28" ht="33">
      <c r="A276" s="79" t="s">
        <v>468</v>
      </c>
      <c r="B276" s="80" t="s">
        <v>469</v>
      </c>
      <c r="C276" s="68">
        <v>0.0879</v>
      </c>
      <c r="D276" s="75">
        <v>8000</v>
      </c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6">
        <v>8000</v>
      </c>
      <c r="T276" s="45"/>
      <c r="U276" s="45"/>
      <c r="V276" s="45"/>
      <c r="W276" s="45"/>
      <c r="X276" s="45"/>
      <c r="Y276" s="45"/>
      <c r="Z276" s="47"/>
      <c r="AA276" s="26"/>
      <c r="AB276" s="27"/>
    </row>
    <row r="277" spans="1:28" ht="33">
      <c r="A277" s="79" t="s">
        <v>470</v>
      </c>
      <c r="B277" s="80" t="s">
        <v>471</v>
      </c>
      <c r="C277" s="68">
        <v>0.0549</v>
      </c>
      <c r="D277" s="75">
        <v>5000</v>
      </c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>
        <f aca="true" t="shared" si="3" ref="T277:T278">D277</f>
        <v>5000</v>
      </c>
      <c r="U277" s="45"/>
      <c r="V277" s="45"/>
      <c r="W277" s="45"/>
      <c r="X277" s="45"/>
      <c r="Y277" s="45"/>
      <c r="Z277" s="47"/>
      <c r="AA277" s="26"/>
      <c r="AB277" s="27"/>
    </row>
    <row r="278" spans="1:28" ht="33">
      <c r="A278" s="79" t="s">
        <v>472</v>
      </c>
      <c r="B278" s="80" t="s">
        <v>473</v>
      </c>
      <c r="C278" s="68">
        <v>0.0879</v>
      </c>
      <c r="D278" s="75">
        <v>8000</v>
      </c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>
        <f t="shared" si="3"/>
        <v>8000</v>
      </c>
      <c r="U278" s="45"/>
      <c r="V278" s="45"/>
      <c r="W278" s="45"/>
      <c r="X278" s="45"/>
      <c r="Y278" s="45"/>
      <c r="Z278" s="47"/>
      <c r="AA278" s="26"/>
      <c r="AB278" s="27"/>
    </row>
    <row r="279" spans="1:28" ht="16.5">
      <c r="A279" s="79" t="s">
        <v>474</v>
      </c>
      <c r="B279" s="80" t="s">
        <v>475</v>
      </c>
      <c r="C279" s="68">
        <v>0.0989</v>
      </c>
      <c r="D279" s="75">
        <v>9000</v>
      </c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6">
        <v>9000</v>
      </c>
      <c r="T279" s="45"/>
      <c r="U279" s="45"/>
      <c r="V279" s="45"/>
      <c r="W279" s="45"/>
      <c r="X279" s="45"/>
      <c r="Y279" s="45"/>
      <c r="Z279" s="47"/>
      <c r="AA279" s="26"/>
      <c r="AB279" s="27"/>
    </row>
    <row r="280" spans="1:28" ht="16.5">
      <c r="A280" s="79" t="s">
        <v>476</v>
      </c>
      <c r="B280" s="80" t="s">
        <v>477</v>
      </c>
      <c r="C280" s="68">
        <v>0.3297</v>
      </c>
      <c r="D280" s="75">
        <v>30000</v>
      </c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6">
        <v>9000</v>
      </c>
      <c r="T280" s="45"/>
      <c r="U280" s="45"/>
      <c r="V280" s="45"/>
      <c r="W280" s="45"/>
      <c r="X280" s="45"/>
      <c r="Y280" s="45"/>
      <c r="Z280" s="47"/>
      <c r="AA280" s="26"/>
      <c r="AB280" s="27"/>
    </row>
    <row r="281" spans="1:28" ht="16.5">
      <c r="A281" s="79" t="s">
        <v>478</v>
      </c>
      <c r="B281" s="80" t="s">
        <v>479</v>
      </c>
      <c r="C281" s="68">
        <v>0.1209</v>
      </c>
      <c r="D281" s="75">
        <v>11000</v>
      </c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6">
        <v>11000</v>
      </c>
      <c r="T281" s="45"/>
      <c r="U281" s="45"/>
      <c r="V281" s="45"/>
      <c r="W281" s="45"/>
      <c r="X281" s="45"/>
      <c r="Y281" s="45"/>
      <c r="Z281" s="47"/>
      <c r="AA281" s="26"/>
      <c r="AB281" s="27"/>
    </row>
    <row r="282" spans="1:28" ht="16.5">
      <c r="A282" s="79" t="s">
        <v>480</v>
      </c>
      <c r="B282" s="80" t="s">
        <v>481</v>
      </c>
      <c r="C282" s="68">
        <v>0.0769</v>
      </c>
      <c r="D282" s="75">
        <v>7000</v>
      </c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6">
        <v>3500</v>
      </c>
      <c r="T282" s="45"/>
      <c r="U282" s="45"/>
      <c r="V282" s="45"/>
      <c r="W282" s="45"/>
      <c r="X282" s="45"/>
      <c r="Y282" s="45"/>
      <c r="Z282" s="47"/>
      <c r="AA282" s="26"/>
      <c r="AB282" s="27"/>
    </row>
    <row r="283" spans="1:256" ht="49.5">
      <c r="A283" s="35">
        <v>6</v>
      </c>
      <c r="B283" s="64" t="s">
        <v>482</v>
      </c>
      <c r="C283" s="61">
        <v>0.04</v>
      </c>
      <c r="D283" s="60">
        <v>166844</v>
      </c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6">
        <f>Q290</f>
        <v>2000</v>
      </c>
      <c r="R283" s="46">
        <f>R289+R290</f>
        <v>37972</v>
      </c>
      <c r="S283" s="46">
        <f>SUM(S289:S293)</f>
        <v>67372</v>
      </c>
      <c r="T283" s="39"/>
      <c r="U283" s="39"/>
      <c r="V283" s="39"/>
      <c r="W283" s="39"/>
      <c r="X283" s="39"/>
      <c r="Y283" s="39"/>
      <c r="Z283" s="40"/>
      <c r="AA283" s="26"/>
      <c r="AB283" s="27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  <c r="IV283" s="34"/>
    </row>
    <row r="284" spans="1:28" ht="16.5">
      <c r="A284" s="78" t="s">
        <v>483</v>
      </c>
      <c r="B284" s="53" t="s">
        <v>407</v>
      </c>
      <c r="C284" s="61">
        <v>0.05</v>
      </c>
      <c r="D284" s="74">
        <v>8000</v>
      </c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6">
        <v>8000</v>
      </c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40"/>
      <c r="AA284" s="26"/>
      <c r="AB284" s="27"/>
    </row>
    <row r="285" spans="1:28" ht="16.5">
      <c r="A285" s="78" t="s">
        <v>484</v>
      </c>
      <c r="B285" s="53" t="s">
        <v>438</v>
      </c>
      <c r="C285" s="61">
        <v>0.07</v>
      </c>
      <c r="D285" s="74">
        <v>12000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6">
        <v>2400</v>
      </c>
      <c r="P285" s="46">
        <v>9600</v>
      </c>
      <c r="Q285" s="39"/>
      <c r="R285" s="39"/>
      <c r="S285" s="39"/>
      <c r="T285" s="39"/>
      <c r="U285" s="39"/>
      <c r="V285" s="39"/>
      <c r="W285" s="39"/>
      <c r="X285" s="39"/>
      <c r="Y285" s="39"/>
      <c r="Z285" s="40"/>
      <c r="AA285" s="26"/>
      <c r="AB285" s="27"/>
    </row>
    <row r="286" spans="1:28" ht="16.5">
      <c r="A286" s="78" t="s">
        <v>485</v>
      </c>
      <c r="B286" s="53" t="s">
        <v>486</v>
      </c>
      <c r="C286" s="61">
        <v>0.09</v>
      </c>
      <c r="D286" s="74">
        <f>+D287+D288</f>
        <v>14500</v>
      </c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46">
        <v>14500</v>
      </c>
      <c r="Q286" s="39"/>
      <c r="R286" s="39"/>
      <c r="S286" s="39"/>
      <c r="T286" s="39"/>
      <c r="U286" s="39"/>
      <c r="V286" s="39"/>
      <c r="W286" s="39"/>
      <c r="X286" s="39"/>
      <c r="Y286" s="39"/>
      <c r="Z286" s="40"/>
      <c r="AA286" s="26"/>
      <c r="AB286" s="27"/>
    </row>
    <row r="287" spans="1:28" ht="16.5">
      <c r="A287" s="79" t="s">
        <v>487</v>
      </c>
      <c r="B287" s="80" t="s">
        <v>133</v>
      </c>
      <c r="C287" s="68">
        <v>0.21</v>
      </c>
      <c r="D287" s="75">
        <v>3000</v>
      </c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>
        <f aca="true" t="shared" si="4" ref="T287:T288">D287</f>
        <v>3000</v>
      </c>
      <c r="U287" s="45"/>
      <c r="V287" s="45"/>
      <c r="W287" s="45"/>
      <c r="X287" s="45"/>
      <c r="Y287" s="45"/>
      <c r="Z287" s="47"/>
      <c r="AA287" s="26"/>
      <c r="AB287" s="27"/>
    </row>
    <row r="288" spans="1:28" ht="16.5">
      <c r="A288" s="79" t="s">
        <v>488</v>
      </c>
      <c r="B288" s="80" t="s">
        <v>445</v>
      </c>
      <c r="C288" s="68">
        <v>0.79</v>
      </c>
      <c r="D288" s="75">
        <v>11500</v>
      </c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>
        <f t="shared" si="4"/>
        <v>11500</v>
      </c>
      <c r="U288" s="45"/>
      <c r="V288" s="45"/>
      <c r="W288" s="45"/>
      <c r="X288" s="45"/>
      <c r="Y288" s="45"/>
      <c r="Z288" s="47"/>
      <c r="AA288" s="26"/>
      <c r="AB288" s="27"/>
    </row>
    <row r="289" spans="1:256" ht="16.5">
      <c r="A289" s="78" t="s">
        <v>484</v>
      </c>
      <c r="B289" s="53" t="s">
        <v>449</v>
      </c>
      <c r="C289" s="61">
        <v>0.24</v>
      </c>
      <c r="D289" s="74">
        <v>39965</v>
      </c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46">
        <v>31972</v>
      </c>
      <c r="S289" s="46">
        <v>7993</v>
      </c>
      <c r="T289" s="39"/>
      <c r="U289" s="39"/>
      <c r="V289" s="39"/>
      <c r="W289" s="39"/>
      <c r="X289" s="39"/>
      <c r="Y289" s="39"/>
      <c r="Z289" s="40"/>
      <c r="AA289" s="26"/>
      <c r="AB289" s="27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  <c r="IV289" s="34"/>
    </row>
    <row r="290" spans="1:256" ht="16.5">
      <c r="A290" s="78" t="s">
        <v>485</v>
      </c>
      <c r="B290" s="53" t="s">
        <v>489</v>
      </c>
      <c r="C290" s="61">
        <v>0.06</v>
      </c>
      <c r="D290" s="74">
        <v>10000</v>
      </c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6">
        <v>2000</v>
      </c>
      <c r="R290" s="46">
        <v>6000</v>
      </c>
      <c r="S290" s="46">
        <v>2000</v>
      </c>
      <c r="T290" s="39"/>
      <c r="U290" s="39"/>
      <c r="V290" s="39"/>
      <c r="W290" s="39"/>
      <c r="X290" s="39"/>
      <c r="Y290" s="39"/>
      <c r="Z290" s="40"/>
      <c r="AA290" s="26"/>
      <c r="AB290" s="27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  <c r="IV290" s="34"/>
    </row>
    <row r="291" spans="1:256" ht="16.5">
      <c r="A291" s="78" t="s">
        <v>490</v>
      </c>
      <c r="B291" s="53" t="s">
        <v>455</v>
      </c>
      <c r="C291" s="61">
        <v>0.26</v>
      </c>
      <c r="D291" s="74">
        <v>43379</v>
      </c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46">
        <v>43379</v>
      </c>
      <c r="T291" s="39"/>
      <c r="U291" s="39"/>
      <c r="V291" s="39"/>
      <c r="W291" s="39"/>
      <c r="X291" s="39"/>
      <c r="Y291" s="39"/>
      <c r="Z291" s="40"/>
      <c r="AA291" s="26"/>
      <c r="AB291" s="27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  <c r="IV291" s="34"/>
    </row>
    <row r="292" spans="1:256" ht="16.5">
      <c r="A292" s="78" t="s">
        <v>491</v>
      </c>
      <c r="B292" s="53" t="s">
        <v>492</v>
      </c>
      <c r="C292" s="61">
        <v>0.05</v>
      </c>
      <c r="D292" s="74">
        <v>8000</v>
      </c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46">
        <v>8000</v>
      </c>
      <c r="T292" s="39"/>
      <c r="U292" s="39"/>
      <c r="V292" s="39"/>
      <c r="W292" s="39"/>
      <c r="X292" s="39"/>
      <c r="Y292" s="39"/>
      <c r="Z292" s="40"/>
      <c r="AA292" s="26"/>
      <c r="AB292" s="27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  <c r="IV292" s="34"/>
    </row>
    <row r="293" spans="1:256" ht="16.5">
      <c r="A293" s="78" t="s">
        <v>493</v>
      </c>
      <c r="B293" s="53" t="s">
        <v>494</v>
      </c>
      <c r="C293" s="61">
        <v>0.04</v>
      </c>
      <c r="D293" s="74">
        <v>6000</v>
      </c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46">
        <v>6000</v>
      </c>
      <c r="T293" s="39"/>
      <c r="U293" s="39"/>
      <c r="V293" s="39"/>
      <c r="W293" s="39"/>
      <c r="X293" s="39"/>
      <c r="Y293" s="39"/>
      <c r="Z293" s="40"/>
      <c r="AA293" s="26"/>
      <c r="AB293" s="27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  <c r="IV293" s="34"/>
    </row>
    <row r="294" spans="1:256" ht="16.5">
      <c r="A294" s="78" t="s">
        <v>495</v>
      </c>
      <c r="B294" s="53" t="s">
        <v>465</v>
      </c>
      <c r="C294" s="61">
        <v>0.15</v>
      </c>
      <c r="D294" s="74">
        <f>+D295</f>
        <v>25000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>
        <f aca="true" t="shared" si="5" ref="T294:T295">D294</f>
        <v>25000</v>
      </c>
      <c r="U294" s="39"/>
      <c r="V294" s="39"/>
      <c r="W294" s="39"/>
      <c r="X294" s="39"/>
      <c r="Y294" s="39"/>
      <c r="Z294" s="40"/>
      <c r="AA294" s="26"/>
      <c r="AB294" s="27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  <c r="IV294" s="34"/>
    </row>
    <row r="295" spans="1:28" ht="16.5">
      <c r="A295" s="79" t="s">
        <v>496</v>
      </c>
      <c r="B295" s="80" t="s">
        <v>477</v>
      </c>
      <c r="C295" s="68">
        <v>1</v>
      </c>
      <c r="D295" s="75">
        <v>25000</v>
      </c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>
        <f t="shared" si="5"/>
        <v>25000</v>
      </c>
      <c r="U295" s="45"/>
      <c r="V295" s="45"/>
      <c r="W295" s="45"/>
      <c r="X295" s="45"/>
      <c r="Y295" s="45"/>
      <c r="Z295" s="47"/>
      <c r="AA295" s="26"/>
      <c r="AB295" s="27"/>
    </row>
    <row r="296" spans="1:28" ht="30">
      <c r="A296" s="91" t="s">
        <v>497</v>
      </c>
      <c r="B296" s="92" t="s">
        <v>498</v>
      </c>
      <c r="C296" s="84" t="s">
        <v>499</v>
      </c>
      <c r="D296" s="57">
        <v>2557750</v>
      </c>
      <c r="E296" s="58">
        <f>SUM(E297:E371)</f>
        <v>0</v>
      </c>
      <c r="F296" s="58">
        <f>SUM(F297:F371)</f>
        <v>0</v>
      </c>
      <c r="G296" s="58">
        <f>SUM(G297:G371)</f>
        <v>0</v>
      </c>
      <c r="H296" s="58">
        <f>SUM(H297:H371)</f>
        <v>0</v>
      </c>
      <c r="I296" s="58">
        <f>SUM(I297:I371)</f>
        <v>0</v>
      </c>
      <c r="J296" s="58">
        <f>SUM(J297:J371)</f>
        <v>0</v>
      </c>
      <c r="K296" s="58">
        <f>SUM(K297:K371)</f>
        <v>0</v>
      </c>
      <c r="L296" s="58">
        <f>SUM(L297:L371)</f>
        <v>0</v>
      </c>
      <c r="M296" s="58">
        <f>SUM(M297:M371)</f>
        <v>0</v>
      </c>
      <c r="N296" s="58">
        <f>SUM(N297:N371)</f>
        <v>0</v>
      </c>
      <c r="O296" s="58">
        <f>SUM(O297:O371)</f>
        <v>67760.62</v>
      </c>
      <c r="P296" s="58">
        <f>SUM(P297:P371)</f>
        <v>559478.31</v>
      </c>
      <c r="Q296" s="58">
        <f>Q297+Q307+Q337+Q352-0.01</f>
        <v>641138.86</v>
      </c>
      <c r="R296" s="58">
        <f>R297+R307+R337+R352+R345-0.01</f>
        <v>569054.98</v>
      </c>
      <c r="S296" s="58">
        <f>S297+S307+S337+S342+S345+S352+S349</f>
        <v>512844.3</v>
      </c>
      <c r="T296" s="58">
        <f>SUM(T297:T371)</f>
        <v>174325.02600000004</v>
      </c>
      <c r="U296" s="58">
        <f>SUM(U297:U371)</f>
        <v>29043</v>
      </c>
      <c r="V296" s="58">
        <f>SUM(V297:V371)</f>
        <v>0</v>
      </c>
      <c r="W296" s="58">
        <f>SUM(W297:W371)</f>
        <v>0</v>
      </c>
      <c r="X296" s="58">
        <f>SUM(X297:X371)</f>
        <v>0</v>
      </c>
      <c r="Y296" s="58">
        <f>SUM(Y297:Y371)</f>
        <v>0</v>
      </c>
      <c r="Z296" s="58">
        <f>SUM(Z297:Z371)</f>
        <v>0</v>
      </c>
      <c r="AA296" s="26"/>
      <c r="AB296" s="27"/>
    </row>
    <row r="297" spans="1:256" ht="16.5">
      <c r="A297" s="78">
        <v>1</v>
      </c>
      <c r="B297" s="53" t="s">
        <v>500</v>
      </c>
      <c r="C297" s="88">
        <v>0.04</v>
      </c>
      <c r="D297" s="93">
        <v>102310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46">
        <f>Q298+Q302</f>
        <v>46032.8</v>
      </c>
      <c r="R297" s="46">
        <f>R298+R302</f>
        <v>10877.2</v>
      </c>
      <c r="S297" s="46">
        <v>10100</v>
      </c>
      <c r="T297" s="39"/>
      <c r="U297" s="39"/>
      <c r="V297" s="39"/>
      <c r="W297" s="39"/>
      <c r="X297" s="39"/>
      <c r="Y297" s="39"/>
      <c r="Z297" s="40"/>
      <c r="AA297" s="26"/>
      <c r="AB297" s="27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  <c r="IV297" s="34"/>
    </row>
    <row r="298" spans="1:28" ht="16.5">
      <c r="A298" s="78" t="s">
        <v>10</v>
      </c>
      <c r="B298" s="53" t="s">
        <v>501</v>
      </c>
      <c r="C298" s="88">
        <v>0.4</v>
      </c>
      <c r="D298" s="93">
        <v>40924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52"/>
      <c r="P298" s="39"/>
      <c r="Q298" s="46">
        <v>17924</v>
      </c>
      <c r="R298" s="46">
        <f>R300</f>
        <v>6000</v>
      </c>
      <c r="S298" s="46">
        <v>7500</v>
      </c>
      <c r="T298" s="39"/>
      <c r="U298" s="39"/>
      <c r="V298" s="39"/>
      <c r="W298" s="39"/>
      <c r="X298" s="39"/>
      <c r="Y298" s="39"/>
      <c r="Z298" s="40"/>
      <c r="AA298" s="26"/>
      <c r="AB298" s="27"/>
    </row>
    <row r="299" spans="1:28" ht="16.5">
      <c r="A299" s="79" t="s">
        <v>12</v>
      </c>
      <c r="B299" s="80" t="s">
        <v>502</v>
      </c>
      <c r="C299" s="89">
        <v>0.2</v>
      </c>
      <c r="D299" s="75">
        <v>20000</v>
      </c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>
        <v>8000</v>
      </c>
      <c r="Q299" s="46">
        <v>12000</v>
      </c>
      <c r="R299" s="45"/>
      <c r="S299" s="45"/>
      <c r="T299" s="45"/>
      <c r="U299" s="45"/>
      <c r="V299" s="45"/>
      <c r="W299" s="45"/>
      <c r="X299" s="45"/>
      <c r="Y299" s="45"/>
      <c r="Z299" s="47"/>
      <c r="AA299" s="26"/>
      <c r="AB299" s="27"/>
    </row>
    <row r="300" spans="1:28" ht="16.5">
      <c r="A300" s="79" t="s">
        <v>14</v>
      </c>
      <c r="B300" s="80" t="s">
        <v>503</v>
      </c>
      <c r="C300" s="89">
        <v>0.15</v>
      </c>
      <c r="D300" s="75">
        <v>15000</v>
      </c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Q300" s="45"/>
      <c r="R300" s="46">
        <v>6000</v>
      </c>
      <c r="S300" s="46">
        <v>7500</v>
      </c>
      <c r="T300" s="45"/>
      <c r="U300" s="45"/>
      <c r="V300" s="45"/>
      <c r="W300" s="45"/>
      <c r="X300" s="45"/>
      <c r="Y300" s="45"/>
      <c r="Z300" s="47"/>
      <c r="AA300" s="26"/>
      <c r="AB300" s="27"/>
    </row>
    <row r="301" spans="1:28" ht="16.5">
      <c r="A301" s="79" t="s">
        <v>16</v>
      </c>
      <c r="B301" s="80" t="s">
        <v>504</v>
      </c>
      <c r="C301" s="89">
        <v>0.06</v>
      </c>
      <c r="D301" s="75">
        <v>5924</v>
      </c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6">
        <v>5924</v>
      </c>
      <c r="R301" s="45"/>
      <c r="S301" s="45"/>
      <c r="T301" s="45"/>
      <c r="U301" s="45"/>
      <c r="V301" s="45"/>
      <c r="W301" s="45"/>
      <c r="X301" s="45"/>
      <c r="Y301" s="45"/>
      <c r="Z301" s="47"/>
      <c r="AA301" s="26"/>
      <c r="AB301" s="27"/>
    </row>
    <row r="302" spans="1:31" ht="16.5">
      <c r="A302" s="78" t="s">
        <v>20</v>
      </c>
      <c r="B302" s="53" t="s">
        <v>505</v>
      </c>
      <c r="C302" s="88">
        <v>0.6</v>
      </c>
      <c r="D302" s="74">
        <v>61386</v>
      </c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46">
        <v>28108.8</v>
      </c>
      <c r="R302" s="46">
        <f>R304+R305+R306</f>
        <v>4877.2</v>
      </c>
      <c r="S302" s="46">
        <v>2600</v>
      </c>
      <c r="T302" s="39"/>
      <c r="U302" s="39"/>
      <c r="V302" s="39"/>
      <c r="W302" s="39"/>
      <c r="X302" s="39"/>
      <c r="Y302" s="39"/>
      <c r="Z302" s="40"/>
      <c r="AA302" s="26"/>
      <c r="AB302" s="27"/>
      <c r="AE302" s="26"/>
    </row>
    <row r="303" spans="1:31" ht="16.5">
      <c r="A303" s="79" t="s">
        <v>22</v>
      </c>
      <c r="B303" s="80" t="s">
        <v>506</v>
      </c>
      <c r="C303" s="89">
        <v>0.7</v>
      </c>
      <c r="D303" s="75">
        <v>43000</v>
      </c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>
        <v>25800</v>
      </c>
      <c r="Q303" s="46">
        <v>17200</v>
      </c>
      <c r="R303" s="45"/>
      <c r="S303" s="45"/>
      <c r="T303" s="45"/>
      <c r="U303" s="45"/>
      <c r="V303" s="45"/>
      <c r="W303" s="45"/>
      <c r="X303" s="45"/>
      <c r="Y303" s="45"/>
      <c r="Z303" s="47"/>
      <c r="AA303" s="26"/>
      <c r="AB303" s="27"/>
      <c r="AE303" s="26"/>
    </row>
    <row r="304" spans="1:28" ht="16.5">
      <c r="A304" s="79" t="s">
        <v>24</v>
      </c>
      <c r="B304" s="80" t="s">
        <v>507</v>
      </c>
      <c r="C304" s="89">
        <v>0.1</v>
      </c>
      <c r="D304" s="75">
        <v>6000</v>
      </c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6">
        <v>2400</v>
      </c>
      <c r="R304" s="46">
        <v>2400</v>
      </c>
      <c r="S304" s="46">
        <v>1200</v>
      </c>
      <c r="T304" s="45"/>
      <c r="U304" s="45"/>
      <c r="V304" s="45"/>
      <c r="W304" s="45"/>
      <c r="X304" s="45"/>
      <c r="Y304" s="45"/>
      <c r="Z304" s="47"/>
      <c r="AA304" s="26"/>
      <c r="AB304" s="27"/>
    </row>
    <row r="305" spans="1:31" ht="16.5">
      <c r="A305" s="79" t="s">
        <v>26</v>
      </c>
      <c r="B305" s="80" t="s">
        <v>508</v>
      </c>
      <c r="C305" s="89">
        <v>0.11</v>
      </c>
      <c r="D305" s="75">
        <v>7000</v>
      </c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6">
        <v>4200</v>
      </c>
      <c r="R305" s="46">
        <v>1400</v>
      </c>
      <c r="S305" s="46">
        <v>1400</v>
      </c>
      <c r="T305" s="45"/>
      <c r="U305" s="45"/>
      <c r="V305" s="45"/>
      <c r="W305" s="45"/>
      <c r="X305" s="45"/>
      <c r="Y305" s="45"/>
      <c r="Z305" s="47"/>
      <c r="AA305" s="26"/>
      <c r="AB305" s="27"/>
      <c r="AE305" s="26"/>
    </row>
    <row r="306" spans="1:28" ht="16.5">
      <c r="A306" s="79" t="s">
        <v>28</v>
      </c>
      <c r="B306" s="80" t="s">
        <v>509</v>
      </c>
      <c r="C306" s="89">
        <v>0.09</v>
      </c>
      <c r="D306" s="75">
        <v>5386</v>
      </c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6">
        <v>4308</v>
      </c>
      <c r="R306" s="46">
        <v>1077.2</v>
      </c>
      <c r="S306" s="45"/>
      <c r="T306" s="45"/>
      <c r="U306" s="45"/>
      <c r="V306" s="45"/>
      <c r="W306" s="45"/>
      <c r="X306" s="45"/>
      <c r="Y306" s="45"/>
      <c r="Z306" s="47"/>
      <c r="AA306" s="26"/>
      <c r="AB306" s="27"/>
    </row>
    <row r="307" spans="1:256" ht="16.5">
      <c r="A307" s="78">
        <v>2</v>
      </c>
      <c r="B307" s="53" t="s">
        <v>510</v>
      </c>
      <c r="C307" s="88">
        <v>0.25</v>
      </c>
      <c r="D307" s="38">
        <v>639437.5</v>
      </c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46">
        <f>Q315</f>
        <v>83109.41</v>
      </c>
      <c r="R307" s="46">
        <f>R315+R330</f>
        <v>77049.68</v>
      </c>
      <c r="S307" s="46">
        <v>93002.36</v>
      </c>
      <c r="T307" s="39"/>
      <c r="U307" s="39"/>
      <c r="V307" s="39"/>
      <c r="W307" s="39"/>
      <c r="X307" s="39"/>
      <c r="Y307" s="39"/>
      <c r="Z307" s="40"/>
      <c r="AA307" s="26"/>
      <c r="AB307" s="27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  <c r="IV307" s="34"/>
    </row>
    <row r="308" spans="1:28" ht="16.5">
      <c r="A308" s="78" t="s">
        <v>62</v>
      </c>
      <c r="B308" s="53" t="s">
        <v>511</v>
      </c>
      <c r="C308" s="88">
        <v>0.42</v>
      </c>
      <c r="D308" s="74">
        <v>268563.75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46">
        <v>12422.82</v>
      </c>
      <c r="T308" s="39"/>
      <c r="U308" s="39"/>
      <c r="V308" s="39"/>
      <c r="W308" s="39"/>
      <c r="X308" s="39"/>
      <c r="Y308" s="39"/>
      <c r="Z308" s="40"/>
      <c r="AA308" s="26"/>
      <c r="AB308" s="27"/>
    </row>
    <row r="309" spans="1:31" ht="16.5">
      <c r="A309" s="79" t="s">
        <v>408</v>
      </c>
      <c r="B309" s="80" t="s">
        <v>407</v>
      </c>
      <c r="C309" s="89">
        <v>0.013</v>
      </c>
      <c r="D309" s="75">
        <v>3500</v>
      </c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6">
        <v>3500</v>
      </c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7"/>
      <c r="AA309" s="26"/>
      <c r="AB309" s="27"/>
      <c r="AE309" s="26"/>
    </row>
    <row r="310" spans="1:28" ht="16.5">
      <c r="A310" s="79" t="s">
        <v>410</v>
      </c>
      <c r="B310" s="80" t="s">
        <v>512</v>
      </c>
      <c r="C310" s="89">
        <v>0.027</v>
      </c>
      <c r="D310" s="75">
        <v>7260.62</v>
      </c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6">
        <v>7260.62</v>
      </c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7"/>
      <c r="AA310" s="26"/>
      <c r="AB310" s="27"/>
    </row>
    <row r="311" spans="1:28" ht="16.5">
      <c r="A311" s="79" t="s">
        <v>513</v>
      </c>
      <c r="B311" s="80" t="s">
        <v>514</v>
      </c>
      <c r="C311" s="89">
        <v>0.2122</v>
      </c>
      <c r="D311" s="75">
        <v>57000</v>
      </c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6">
        <v>57000</v>
      </c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7"/>
      <c r="AA311" s="26"/>
      <c r="AB311" s="27"/>
    </row>
    <row r="312" spans="1:28" ht="16.5">
      <c r="A312" s="79" t="s">
        <v>515</v>
      </c>
      <c r="B312" s="80" t="s">
        <v>516</v>
      </c>
      <c r="C312" s="89">
        <v>0.5027</v>
      </c>
      <c r="D312" s="75">
        <f>105000+30000</f>
        <v>135000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>
        <v>135000</v>
      </c>
      <c r="Q312" s="45"/>
      <c r="R312" s="45"/>
      <c r="S312" s="45"/>
      <c r="T312" s="45"/>
      <c r="U312" s="45"/>
      <c r="V312" s="45"/>
      <c r="W312" s="45"/>
      <c r="X312" s="45"/>
      <c r="Y312" s="45"/>
      <c r="Z312" s="47"/>
      <c r="AA312" s="26"/>
      <c r="AB312" s="27"/>
    </row>
    <row r="313" spans="1:28" ht="16.5">
      <c r="A313" s="79" t="s">
        <v>517</v>
      </c>
      <c r="B313" s="80" t="s">
        <v>288</v>
      </c>
      <c r="C313" s="89">
        <v>0.1936</v>
      </c>
      <c r="D313" s="75">
        <v>52000</v>
      </c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>
        <v>52000</v>
      </c>
      <c r="R313" s="45"/>
      <c r="S313" s="45"/>
      <c r="T313" s="45"/>
      <c r="U313" s="45"/>
      <c r="V313" s="45"/>
      <c r="W313" s="45"/>
      <c r="X313" s="45"/>
      <c r="Y313" s="45"/>
      <c r="Z313" s="47"/>
      <c r="AA313" s="26"/>
      <c r="AB313" s="27"/>
    </row>
    <row r="314" spans="1:28" ht="16.5">
      <c r="A314" s="79" t="s">
        <v>518</v>
      </c>
      <c r="B314" s="80" t="s">
        <v>519</v>
      </c>
      <c r="C314" s="89">
        <v>0.0514</v>
      </c>
      <c r="D314" s="75">
        <v>13803.13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6">
        <v>12422.82</v>
      </c>
      <c r="T314" s="45"/>
      <c r="U314" s="45"/>
      <c r="V314" s="45"/>
      <c r="W314" s="45"/>
      <c r="X314" s="45"/>
      <c r="Y314" s="45"/>
      <c r="Z314" s="47"/>
      <c r="AA314" s="26"/>
      <c r="AB314" s="27"/>
    </row>
    <row r="315" spans="1:28" ht="16.5">
      <c r="A315" s="78" t="s">
        <v>64</v>
      </c>
      <c r="B315" s="53" t="s">
        <v>520</v>
      </c>
      <c r="C315" s="88">
        <v>0.37</v>
      </c>
      <c r="D315" s="74">
        <v>236591.88</v>
      </c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6">
        <v>83109.41</v>
      </c>
      <c r="R315" s="46">
        <f>R320</f>
        <v>7863.68</v>
      </c>
      <c r="S315" s="46">
        <v>45986.54</v>
      </c>
      <c r="T315" s="39"/>
      <c r="U315" s="39"/>
      <c r="V315" s="39"/>
      <c r="W315" s="39"/>
      <c r="X315" s="39"/>
      <c r="Y315" s="39"/>
      <c r="Z315" s="40"/>
      <c r="AA315" s="26"/>
      <c r="AB315" s="27"/>
    </row>
    <row r="316" spans="1:28" ht="16.5">
      <c r="A316" s="79" t="s">
        <v>132</v>
      </c>
      <c r="B316" s="80" t="s">
        <v>521</v>
      </c>
      <c r="C316" s="89">
        <v>0.2</v>
      </c>
      <c r="D316" s="75">
        <f>0.2*D315</f>
        <v>47318.376000000004</v>
      </c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6">
        <v>36254.7</v>
      </c>
      <c r="R316" s="45"/>
      <c r="S316" s="46">
        <v>4531.84</v>
      </c>
      <c r="T316" s="45"/>
      <c r="U316" s="45"/>
      <c r="V316" s="45"/>
      <c r="W316" s="45"/>
      <c r="X316" s="45"/>
      <c r="Y316" s="45"/>
      <c r="Z316" s="47"/>
      <c r="AA316" s="26"/>
      <c r="AB316" s="27"/>
    </row>
    <row r="317" spans="1:28" ht="16.5">
      <c r="A317" s="79" t="s">
        <v>522</v>
      </c>
      <c r="B317" s="80" t="s">
        <v>523</v>
      </c>
      <c r="C317" s="89">
        <v>0.76</v>
      </c>
      <c r="D317" s="75">
        <v>36000</v>
      </c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6">
        <v>28800</v>
      </c>
      <c r="R317" s="45"/>
      <c r="S317" s="46">
        <v>3600</v>
      </c>
      <c r="T317" s="45"/>
      <c r="U317" s="45"/>
      <c r="V317" s="45"/>
      <c r="W317" s="45"/>
      <c r="X317" s="45"/>
      <c r="Y317" s="45"/>
      <c r="Z317" s="47"/>
      <c r="AA317" s="26"/>
      <c r="AB317" s="27"/>
    </row>
    <row r="318" spans="1:31" ht="16.5">
      <c r="A318" s="79" t="s">
        <v>524</v>
      </c>
      <c r="B318" s="80" t="s">
        <v>525</v>
      </c>
      <c r="C318" s="89">
        <v>0.2</v>
      </c>
      <c r="D318" s="75">
        <v>9318.35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6">
        <v>7454.7</v>
      </c>
      <c r="R318" s="45"/>
      <c r="S318" s="46">
        <v>931.84</v>
      </c>
      <c r="T318" s="45"/>
      <c r="U318" s="45"/>
      <c r="V318" s="45"/>
      <c r="W318" s="45"/>
      <c r="X318" s="45"/>
      <c r="Y318" s="45"/>
      <c r="Z318" s="47"/>
      <c r="AA318" s="26"/>
      <c r="AB318" s="27"/>
      <c r="AE318" s="26"/>
    </row>
    <row r="319" spans="1:28" ht="16.5">
      <c r="A319" s="79" t="s">
        <v>526</v>
      </c>
      <c r="B319" s="80" t="s">
        <v>527</v>
      </c>
      <c r="C319" s="89">
        <v>0.04</v>
      </c>
      <c r="D319" s="75">
        <v>2000</v>
      </c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7"/>
      <c r="AA319" s="26"/>
      <c r="AB319" s="27"/>
    </row>
    <row r="320" spans="1:28" ht="33" customHeight="1">
      <c r="A320" s="79" t="s">
        <v>134</v>
      </c>
      <c r="B320" s="80" t="s">
        <v>528</v>
      </c>
      <c r="C320" s="89">
        <v>0.2</v>
      </c>
      <c r="D320" s="75">
        <f>0.2*D315</f>
        <v>47318.376000000004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6">
        <v>9463.68</v>
      </c>
      <c r="R320" s="46">
        <v>7863.68</v>
      </c>
      <c r="S320" s="46">
        <v>7863.68</v>
      </c>
      <c r="T320" s="45"/>
      <c r="U320" s="45"/>
      <c r="V320" s="45"/>
      <c r="W320" s="45"/>
      <c r="X320" s="45"/>
      <c r="Y320" s="45"/>
      <c r="Z320" s="47"/>
      <c r="AA320" s="26"/>
      <c r="AB320" s="27"/>
    </row>
    <row r="321" spans="1:28" ht="16.5">
      <c r="A321" s="79" t="s">
        <v>529</v>
      </c>
      <c r="B321" s="80" t="s">
        <v>523</v>
      </c>
      <c r="C321" s="89">
        <v>0.68</v>
      </c>
      <c r="D321" s="75">
        <v>32000</v>
      </c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>
        <v>19200</v>
      </c>
      <c r="Q321" s="45"/>
      <c r="R321" s="46">
        <v>6400</v>
      </c>
      <c r="S321" s="46">
        <v>6400</v>
      </c>
      <c r="T321" s="45"/>
      <c r="U321" s="45"/>
      <c r="V321" s="45"/>
      <c r="W321" s="45"/>
      <c r="X321" s="45"/>
      <c r="Y321" s="45"/>
      <c r="Z321" s="47"/>
      <c r="AA321" s="26"/>
      <c r="AB321" s="27"/>
    </row>
    <row r="322" spans="1:30" ht="16.5">
      <c r="A322" s="79" t="s">
        <v>530</v>
      </c>
      <c r="B322" s="80" t="s">
        <v>531</v>
      </c>
      <c r="C322" s="89">
        <v>0.15</v>
      </c>
      <c r="D322" s="75">
        <v>7318.38</v>
      </c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>
        <v>2927.35</v>
      </c>
      <c r="Q322" s="46">
        <v>1463.68</v>
      </c>
      <c r="R322" s="46">
        <v>1463</v>
      </c>
      <c r="S322" s="46">
        <v>1463.68</v>
      </c>
      <c r="T322" s="45"/>
      <c r="U322" s="45"/>
      <c r="V322" s="45"/>
      <c r="W322" s="45"/>
      <c r="X322" s="45"/>
      <c r="Y322" s="45"/>
      <c r="Z322" s="47"/>
      <c r="AA322" s="26"/>
      <c r="AB322" s="27"/>
      <c r="AD322" s="26"/>
    </row>
    <row r="323" spans="1:28" ht="16.5">
      <c r="A323" s="79" t="s">
        <v>532</v>
      </c>
      <c r="B323" s="80" t="s">
        <v>533</v>
      </c>
      <c r="C323" s="89">
        <v>0.13</v>
      </c>
      <c r="D323" s="75">
        <v>6000</v>
      </c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6">
        <v>6000</v>
      </c>
      <c r="R323" s="45"/>
      <c r="S323" s="45"/>
      <c r="T323" s="45"/>
      <c r="U323" s="45"/>
      <c r="V323" s="45"/>
      <c r="W323" s="45"/>
      <c r="X323" s="45"/>
      <c r="Y323" s="45"/>
      <c r="Z323" s="47"/>
      <c r="AA323" s="26"/>
      <c r="AB323" s="27"/>
    </row>
    <row r="324" spans="1:28" ht="16.5">
      <c r="A324" s="79" t="s">
        <v>534</v>
      </c>
      <c r="B324" s="80" t="s">
        <v>527</v>
      </c>
      <c r="C324" s="89">
        <v>0.04</v>
      </c>
      <c r="D324" s="75">
        <v>2000</v>
      </c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6">
        <v>2000</v>
      </c>
      <c r="R324" s="45"/>
      <c r="S324" s="45"/>
      <c r="T324" s="45"/>
      <c r="U324" s="45"/>
      <c r="V324" s="45"/>
      <c r="W324" s="45"/>
      <c r="X324" s="45"/>
      <c r="Y324" s="45"/>
      <c r="Z324" s="47"/>
      <c r="AA324" s="26"/>
      <c r="AB324" s="27"/>
    </row>
    <row r="325" spans="1:28" ht="28.5" customHeight="1">
      <c r="A325" s="79" t="s">
        <v>415</v>
      </c>
      <c r="B325" s="80" t="s">
        <v>535</v>
      </c>
      <c r="C325" s="89">
        <v>0.6</v>
      </c>
      <c r="D325" s="75">
        <f>0.6*D315</f>
        <v>141955.128</v>
      </c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6">
        <v>37391.03</v>
      </c>
      <c r="R325" s="45"/>
      <c r="S325" s="46">
        <v>33591.03</v>
      </c>
      <c r="T325" s="45"/>
      <c r="U325" s="45"/>
      <c r="V325" s="45"/>
      <c r="W325" s="45"/>
      <c r="X325" s="45"/>
      <c r="Y325" s="45"/>
      <c r="Z325" s="47"/>
      <c r="AA325" s="26"/>
      <c r="AB325" s="27"/>
    </row>
    <row r="326" spans="1:28" ht="16.5">
      <c r="A326" s="79" t="s">
        <v>536</v>
      </c>
      <c r="B326" s="80" t="s">
        <v>523</v>
      </c>
      <c r="C326" s="89">
        <v>0.6548</v>
      </c>
      <c r="D326" s="75">
        <v>92955.13</v>
      </c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>
        <v>55773.08</v>
      </c>
      <c r="Q326" s="46">
        <v>18591.03</v>
      </c>
      <c r="R326" s="45"/>
      <c r="S326" s="46">
        <v>18591.03</v>
      </c>
      <c r="T326" s="45"/>
      <c r="U326" s="45"/>
      <c r="V326" s="45"/>
      <c r="W326" s="45"/>
      <c r="X326" s="45"/>
      <c r="Y326" s="45"/>
      <c r="Z326" s="47"/>
      <c r="AA326" s="26"/>
      <c r="AB326" s="27"/>
    </row>
    <row r="327" spans="1:28" ht="16.5">
      <c r="A327" s="79" t="s">
        <v>537</v>
      </c>
      <c r="B327" s="80" t="s">
        <v>531</v>
      </c>
      <c r="C327" s="89">
        <v>0.2466</v>
      </c>
      <c r="D327" s="75">
        <v>35000</v>
      </c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>
        <v>14000</v>
      </c>
      <c r="Q327" s="46">
        <v>14000</v>
      </c>
      <c r="R327" s="45"/>
      <c r="S327" s="46">
        <v>7000</v>
      </c>
      <c r="T327" s="45"/>
      <c r="U327" s="45"/>
      <c r="V327" s="45"/>
      <c r="W327" s="45"/>
      <c r="X327" s="45"/>
      <c r="Y327" s="45"/>
      <c r="Z327" s="47"/>
      <c r="AA327" s="26"/>
      <c r="AB327" s="27"/>
    </row>
    <row r="328" spans="1:28" ht="16.5">
      <c r="A328" s="79" t="s">
        <v>538</v>
      </c>
      <c r="B328" s="80" t="s">
        <v>539</v>
      </c>
      <c r="C328" s="89">
        <v>0.0564</v>
      </c>
      <c r="D328" s="75">
        <v>8000</v>
      </c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6">
        <v>8000</v>
      </c>
      <c r="T328" s="45"/>
      <c r="U328" s="45"/>
      <c r="V328" s="45"/>
      <c r="W328" s="45"/>
      <c r="X328" s="45"/>
      <c r="Y328" s="45"/>
      <c r="Z328" s="47"/>
      <c r="AA328" s="26"/>
      <c r="AB328" s="27"/>
    </row>
    <row r="329" spans="1:28" ht="16.5">
      <c r="A329" s="79" t="s">
        <v>540</v>
      </c>
      <c r="B329" s="80" t="s">
        <v>527</v>
      </c>
      <c r="C329" s="89">
        <v>0.0423</v>
      </c>
      <c r="D329" s="75">
        <v>6000</v>
      </c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6">
        <v>4800</v>
      </c>
      <c r="R329" s="45"/>
      <c r="S329" s="45"/>
      <c r="T329" s="45"/>
      <c r="U329" s="45"/>
      <c r="V329" s="45"/>
      <c r="W329" s="45"/>
      <c r="X329" s="45"/>
      <c r="Y329" s="45"/>
      <c r="Z329" s="47"/>
      <c r="AA329" s="26"/>
      <c r="AB329" s="27"/>
    </row>
    <row r="330" spans="1:28" ht="16.5">
      <c r="A330" s="78" t="s">
        <v>66</v>
      </c>
      <c r="B330" s="53" t="s">
        <v>541</v>
      </c>
      <c r="C330" s="88">
        <v>0.21</v>
      </c>
      <c r="D330" s="74">
        <v>134281.88</v>
      </c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46">
        <f>R332+R335</f>
        <v>69186</v>
      </c>
      <c r="S330" s="46">
        <v>34593</v>
      </c>
      <c r="T330" s="39"/>
      <c r="U330" s="39"/>
      <c r="V330" s="39"/>
      <c r="W330" s="39"/>
      <c r="X330" s="39"/>
      <c r="Y330" s="39"/>
      <c r="Z330" s="40"/>
      <c r="AA330" s="26"/>
      <c r="AB330" s="27"/>
    </row>
    <row r="331" spans="1:28" ht="16.5">
      <c r="A331" s="79" t="s">
        <v>137</v>
      </c>
      <c r="B331" s="80" t="s">
        <v>542</v>
      </c>
      <c r="C331" s="89"/>
      <c r="D331" s="75">
        <v>6985.94</v>
      </c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>
        <f>D331</f>
        <v>6985.94</v>
      </c>
      <c r="R331" s="45"/>
      <c r="S331" s="45"/>
      <c r="T331" s="45"/>
      <c r="U331" s="45"/>
      <c r="V331" s="45"/>
      <c r="W331" s="45"/>
      <c r="X331" s="45"/>
      <c r="Y331" s="45"/>
      <c r="Z331" s="47"/>
      <c r="AA331" s="26"/>
      <c r="AB331" s="27"/>
    </row>
    <row r="332" spans="1:28" ht="16.5">
      <c r="A332" s="79" t="s">
        <v>139</v>
      </c>
      <c r="B332" s="80" t="s">
        <v>543</v>
      </c>
      <c r="C332" s="89"/>
      <c r="D332" s="75">
        <v>57655</v>
      </c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6">
        <v>34593</v>
      </c>
      <c r="S332" s="46">
        <f>D332*0.3</f>
        <v>17296.5</v>
      </c>
      <c r="T332" s="45"/>
      <c r="U332" s="45"/>
      <c r="V332" s="45"/>
      <c r="W332" s="45"/>
      <c r="X332" s="45"/>
      <c r="Y332" s="45"/>
      <c r="Z332" s="47"/>
      <c r="AA332" s="26"/>
      <c r="AB332" s="27"/>
    </row>
    <row r="333" spans="1:28" ht="16.5">
      <c r="A333" s="79" t="s">
        <v>422</v>
      </c>
      <c r="B333" s="80" t="s">
        <v>544</v>
      </c>
      <c r="C333" s="89"/>
      <c r="D333" s="75">
        <v>2500</v>
      </c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7"/>
      <c r="AA333" s="26"/>
      <c r="AB333" s="27"/>
    </row>
    <row r="334" spans="1:28" ht="16.5">
      <c r="A334" s="79" t="s">
        <v>545</v>
      </c>
      <c r="B334" s="80" t="s">
        <v>546</v>
      </c>
      <c r="C334" s="89"/>
      <c r="D334" s="75">
        <v>6985.94</v>
      </c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>
        <f>D334</f>
        <v>6985.94</v>
      </c>
      <c r="R334" s="45"/>
      <c r="S334" s="45"/>
      <c r="T334" s="45"/>
      <c r="U334" s="45"/>
      <c r="V334" s="45"/>
      <c r="W334" s="45"/>
      <c r="X334" s="45"/>
      <c r="Y334" s="45"/>
      <c r="Z334" s="47"/>
      <c r="AA334" s="26"/>
      <c r="AB334" s="27"/>
    </row>
    <row r="335" spans="1:28" ht="16.5">
      <c r="A335" s="79" t="s">
        <v>547</v>
      </c>
      <c r="B335" s="80" t="s">
        <v>548</v>
      </c>
      <c r="C335" s="89"/>
      <c r="D335" s="75">
        <v>57655</v>
      </c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>
        <v>34593</v>
      </c>
      <c r="S335" s="46">
        <f>D335*0.3</f>
        <v>17296.5</v>
      </c>
      <c r="T335" s="45"/>
      <c r="U335" s="45"/>
      <c r="V335" s="45"/>
      <c r="W335" s="45"/>
      <c r="X335" s="45"/>
      <c r="Y335" s="45"/>
      <c r="Z335" s="47"/>
      <c r="AA335" s="26"/>
      <c r="AB335" s="27"/>
    </row>
    <row r="336" spans="1:28" ht="16.5">
      <c r="A336" s="79" t="s">
        <v>549</v>
      </c>
      <c r="B336" s="80" t="s">
        <v>550</v>
      </c>
      <c r="C336" s="89"/>
      <c r="D336" s="75">
        <v>2500</v>
      </c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7"/>
      <c r="AA336" s="26"/>
      <c r="AB336" s="27"/>
    </row>
    <row r="337" spans="1:256" ht="16.5">
      <c r="A337" s="78">
        <v>3</v>
      </c>
      <c r="B337" s="53" t="s">
        <v>551</v>
      </c>
      <c r="C337" s="88">
        <v>0.31</v>
      </c>
      <c r="D337" s="93">
        <v>792902.5</v>
      </c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6">
        <v>336190.66</v>
      </c>
      <c r="R337" s="46">
        <f>R338+R341</f>
        <v>348877.11</v>
      </c>
      <c r="S337" s="46">
        <v>107834.74</v>
      </c>
      <c r="T337" s="39"/>
      <c r="U337" s="39"/>
      <c r="V337" s="39"/>
      <c r="W337" s="39"/>
      <c r="X337" s="39"/>
      <c r="Y337" s="39"/>
      <c r="Z337" s="40"/>
      <c r="AA337" s="26"/>
      <c r="AB337" s="27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  <c r="IV337" s="34"/>
    </row>
    <row r="338" spans="1:28" ht="49.5">
      <c r="A338" s="78" t="s">
        <v>71</v>
      </c>
      <c r="B338" s="53" t="s">
        <v>552</v>
      </c>
      <c r="C338" s="88">
        <v>0.37</v>
      </c>
      <c r="D338" s="87">
        <v>293373.93</v>
      </c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46">
        <v>293373.93</v>
      </c>
      <c r="S338" s="39"/>
      <c r="T338" s="46">
        <f aca="true" t="shared" si="6" ref="T338:T339">D338*0.1</f>
        <v>29337.393</v>
      </c>
      <c r="U338" s="39"/>
      <c r="V338" s="39"/>
      <c r="W338" s="39"/>
      <c r="X338" s="39"/>
      <c r="Y338" s="39"/>
      <c r="Z338" s="40"/>
      <c r="AA338" s="26"/>
      <c r="AB338" s="27"/>
    </row>
    <row r="339" spans="1:28" ht="33">
      <c r="A339" s="78" t="s">
        <v>73</v>
      </c>
      <c r="B339" s="53" t="s">
        <v>553</v>
      </c>
      <c r="C339" s="88">
        <v>0.18</v>
      </c>
      <c r="D339" s="87">
        <v>142722.45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6">
        <v>114177.96</v>
      </c>
      <c r="R339" s="39"/>
      <c r="S339" s="46">
        <v>28544.49</v>
      </c>
      <c r="T339" s="46">
        <f t="shared" si="6"/>
        <v>14272.245000000003</v>
      </c>
      <c r="U339" s="39"/>
      <c r="V339" s="39"/>
      <c r="W339" s="39"/>
      <c r="X339" s="39"/>
      <c r="Y339" s="39"/>
      <c r="Z339" s="40"/>
      <c r="AA339" s="26"/>
      <c r="AB339" s="27"/>
    </row>
    <row r="340" spans="1:28" ht="49.5">
      <c r="A340" s="78" t="s">
        <v>211</v>
      </c>
      <c r="B340" s="53" t="s">
        <v>554</v>
      </c>
      <c r="C340" s="88">
        <v>0.1</v>
      </c>
      <c r="D340" s="87">
        <v>79290.25</v>
      </c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46">
        <v>79290.25</v>
      </c>
      <c r="T340" s="39"/>
      <c r="U340" s="39"/>
      <c r="V340" s="39"/>
      <c r="W340" s="39"/>
      <c r="X340" s="39"/>
      <c r="Y340" s="39"/>
      <c r="Z340" s="40"/>
      <c r="AA340" s="26"/>
      <c r="AB340" s="27"/>
    </row>
    <row r="341" spans="1:28" ht="16.5">
      <c r="A341" s="78" t="s">
        <v>220</v>
      </c>
      <c r="B341" s="53" t="s">
        <v>555</v>
      </c>
      <c r="C341" s="88">
        <v>0.35</v>
      </c>
      <c r="D341" s="87">
        <v>277515.88</v>
      </c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46">
        <v>222012.7</v>
      </c>
      <c r="R341" s="46">
        <v>55503.18</v>
      </c>
      <c r="S341" s="39"/>
      <c r="T341" s="46">
        <f>D341*0.1</f>
        <v>27751.588000000003</v>
      </c>
      <c r="U341" s="39"/>
      <c r="V341" s="39"/>
      <c r="W341" s="39"/>
      <c r="X341" s="39"/>
      <c r="Y341" s="39"/>
      <c r="Z341" s="40"/>
      <c r="AA341" s="26"/>
      <c r="AB341" s="27"/>
    </row>
    <row r="342" spans="1:256" ht="16.5">
      <c r="A342" s="78">
        <v>4</v>
      </c>
      <c r="B342" s="53" t="s">
        <v>556</v>
      </c>
      <c r="C342" s="88">
        <v>0.02</v>
      </c>
      <c r="D342" s="87">
        <v>51155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46">
        <v>20320</v>
      </c>
      <c r="T342" s="39"/>
      <c r="U342" s="39"/>
      <c r="V342" s="39"/>
      <c r="W342" s="39"/>
      <c r="X342" s="39"/>
      <c r="Y342" s="39"/>
      <c r="Z342" s="40"/>
      <c r="AA342" s="26"/>
      <c r="AB342" s="27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  <c r="IV342" s="34"/>
    </row>
    <row r="343" spans="1:28" ht="33">
      <c r="A343" s="78" t="s">
        <v>269</v>
      </c>
      <c r="B343" s="53" t="s">
        <v>557</v>
      </c>
      <c r="C343" s="88">
        <v>0.5035</v>
      </c>
      <c r="D343" s="87">
        <v>25755</v>
      </c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46">
        <v>15453</v>
      </c>
      <c r="U343" s="46">
        <v>10302</v>
      </c>
      <c r="V343" s="39"/>
      <c r="W343" s="39"/>
      <c r="X343" s="39"/>
      <c r="Y343" s="39"/>
      <c r="Z343" s="40"/>
      <c r="AA343" s="26"/>
      <c r="AB343" s="27"/>
    </row>
    <row r="344" spans="1:28" ht="49.5">
      <c r="A344" s="78" t="s">
        <v>271</v>
      </c>
      <c r="B344" s="53" t="s">
        <v>558</v>
      </c>
      <c r="C344" s="88">
        <v>0.4965</v>
      </c>
      <c r="D344" s="87">
        <v>25400</v>
      </c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46">
        <v>20320</v>
      </c>
      <c r="T344" s="46">
        <v>15240</v>
      </c>
      <c r="U344" s="46">
        <v>10160</v>
      </c>
      <c r="V344" s="39"/>
      <c r="W344" s="39"/>
      <c r="X344" s="39"/>
      <c r="Y344" s="39"/>
      <c r="Z344" s="40"/>
      <c r="AA344" s="26"/>
      <c r="AB344" s="27"/>
    </row>
    <row r="345" spans="1:28" ht="16.5">
      <c r="A345" s="78">
        <v>5</v>
      </c>
      <c r="B345" s="53" t="s">
        <v>559</v>
      </c>
      <c r="C345" s="88">
        <v>0.04</v>
      </c>
      <c r="D345" s="87">
        <v>102310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46">
        <f>R347+R348</f>
        <v>57848</v>
      </c>
      <c r="S345" s="46">
        <v>21000</v>
      </c>
      <c r="T345" s="39"/>
      <c r="U345" s="39"/>
      <c r="V345" s="39"/>
      <c r="W345" s="39"/>
      <c r="X345" s="39"/>
      <c r="Y345" s="39"/>
      <c r="Z345" s="40"/>
      <c r="AA345" s="26"/>
      <c r="AB345" s="27"/>
    </row>
    <row r="346" spans="1:28" ht="33">
      <c r="A346" s="78" t="s">
        <v>436</v>
      </c>
      <c r="B346" s="53" t="s">
        <v>560</v>
      </c>
      <c r="C346" s="88">
        <v>0.2932</v>
      </c>
      <c r="D346" s="87">
        <v>30000</v>
      </c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46">
        <f>D346*0.7</f>
        <v>21000</v>
      </c>
      <c r="T346" s="46">
        <f>D346*0.3</f>
        <v>9000</v>
      </c>
      <c r="U346" s="39"/>
      <c r="V346" s="39"/>
      <c r="W346" s="39"/>
      <c r="X346" s="39"/>
      <c r="Y346" s="39"/>
      <c r="Z346" s="40"/>
      <c r="AA346" s="26"/>
      <c r="AB346" s="27"/>
    </row>
    <row r="347" spans="1:28" ht="16.5">
      <c r="A347" s="78" t="s">
        <v>437</v>
      </c>
      <c r="B347" s="53" t="s">
        <v>561</v>
      </c>
      <c r="C347" s="88">
        <v>0.6921</v>
      </c>
      <c r="D347" s="87">
        <v>70810</v>
      </c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46">
        <v>56648</v>
      </c>
      <c r="S347" s="39"/>
      <c r="T347" s="46">
        <f>D347*0.2</f>
        <v>14162</v>
      </c>
      <c r="U347" s="46">
        <f>D347*0.1</f>
        <v>7081</v>
      </c>
      <c r="V347" s="39"/>
      <c r="W347" s="39"/>
      <c r="X347" s="39"/>
      <c r="Y347" s="39"/>
      <c r="Z347" s="40"/>
      <c r="AA347" s="26"/>
      <c r="AB347" s="27"/>
    </row>
    <row r="348" spans="1:28" ht="16.5">
      <c r="A348" s="78" t="s">
        <v>439</v>
      </c>
      <c r="B348" s="53" t="s">
        <v>527</v>
      </c>
      <c r="C348" s="88">
        <v>0.0147</v>
      </c>
      <c r="D348" s="87">
        <v>1500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46">
        <v>1200</v>
      </c>
      <c r="S348" s="39"/>
      <c r="T348" s="39"/>
      <c r="U348" s="46">
        <f>D348</f>
        <v>1500</v>
      </c>
      <c r="V348" s="39"/>
      <c r="W348" s="39"/>
      <c r="X348" s="39"/>
      <c r="Y348" s="39"/>
      <c r="Z348" s="40"/>
      <c r="AA348" s="26"/>
      <c r="AB348" s="27"/>
    </row>
    <row r="349" spans="1:256" ht="16.5">
      <c r="A349" s="78">
        <v>6</v>
      </c>
      <c r="B349" s="53" t="s">
        <v>562</v>
      </c>
      <c r="C349" s="88">
        <v>0.08</v>
      </c>
      <c r="D349" s="87">
        <v>204620</v>
      </c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46">
        <v>114587.2</v>
      </c>
      <c r="T349" s="39"/>
      <c r="U349" s="39"/>
      <c r="V349" s="39"/>
      <c r="W349" s="39"/>
      <c r="X349" s="39"/>
      <c r="Y349" s="39"/>
      <c r="Z349" s="40"/>
      <c r="AA349" s="26"/>
      <c r="AB349" s="27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  <c r="IV349" s="34"/>
    </row>
    <row r="350" spans="1:28" ht="33">
      <c r="A350" s="78" t="s">
        <v>483</v>
      </c>
      <c r="B350" s="53" t="s">
        <v>563</v>
      </c>
      <c r="C350" s="88">
        <v>0.8</v>
      </c>
      <c r="D350" s="87">
        <v>163696</v>
      </c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46">
        <v>98217.6</v>
      </c>
      <c r="T350" s="46">
        <v>32739.2</v>
      </c>
      <c r="U350" s="76"/>
      <c r="V350" s="76"/>
      <c r="W350" s="39"/>
      <c r="X350" s="39"/>
      <c r="Y350" s="39"/>
      <c r="Z350" s="40"/>
      <c r="AA350" s="26"/>
      <c r="AB350" s="27"/>
    </row>
    <row r="351" spans="1:28" ht="16.5">
      <c r="A351" s="94" t="s">
        <v>484</v>
      </c>
      <c r="B351" s="95" t="s">
        <v>564</v>
      </c>
      <c r="C351" s="88">
        <v>0.2</v>
      </c>
      <c r="D351" s="87">
        <v>40924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46">
        <v>16369.6</v>
      </c>
      <c r="T351" s="46">
        <v>16369.6</v>
      </c>
      <c r="U351" s="76"/>
      <c r="V351" s="76"/>
      <c r="W351" s="39"/>
      <c r="X351" s="39"/>
      <c r="Y351" s="39"/>
      <c r="Z351" s="40"/>
      <c r="AA351" s="26"/>
      <c r="AB351" s="27"/>
    </row>
    <row r="352" spans="1:256" ht="49.5">
      <c r="A352" s="78">
        <v>7</v>
      </c>
      <c r="B352" s="53" t="s">
        <v>565</v>
      </c>
      <c r="C352" s="88">
        <v>0.26</v>
      </c>
      <c r="D352" s="87">
        <v>665015</v>
      </c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6">
        <v>175806</v>
      </c>
      <c r="R352" s="46">
        <v>74403</v>
      </c>
      <c r="S352" s="46">
        <v>146000</v>
      </c>
      <c r="T352" s="39"/>
      <c r="U352" s="39"/>
      <c r="V352" s="39"/>
      <c r="W352" s="39"/>
      <c r="X352" s="39"/>
      <c r="Y352" s="39"/>
      <c r="Z352" s="40"/>
      <c r="AA352" s="26"/>
      <c r="AB352" s="27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  <c r="IV352" s="34"/>
    </row>
    <row r="353" spans="1:28" ht="16.5">
      <c r="A353" s="78" t="s">
        <v>566</v>
      </c>
      <c r="B353" s="53" t="s">
        <v>567</v>
      </c>
      <c r="C353" s="88">
        <v>0.33</v>
      </c>
      <c r="D353" s="87">
        <v>222015</v>
      </c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6">
        <f>Q356</f>
        <v>18003</v>
      </c>
      <c r="R353" s="46">
        <v>18003</v>
      </c>
      <c r="S353" s="46">
        <v>60000</v>
      </c>
      <c r="T353" s="39"/>
      <c r="U353" s="39"/>
      <c r="V353" s="39"/>
      <c r="W353" s="39"/>
      <c r="X353" s="39"/>
      <c r="Y353" s="39"/>
      <c r="Z353" s="40"/>
      <c r="AA353" s="26"/>
      <c r="AB353" s="27"/>
    </row>
    <row r="354" spans="1:28" ht="33">
      <c r="A354" s="79" t="s">
        <v>568</v>
      </c>
      <c r="B354" s="80" t="s">
        <v>569</v>
      </c>
      <c r="C354" s="89">
        <v>0.27</v>
      </c>
      <c r="D354" s="75">
        <v>60000</v>
      </c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>
        <v>48000</v>
      </c>
      <c r="Q354" s="45"/>
      <c r="R354" s="45"/>
      <c r="S354" s="46">
        <v>12000</v>
      </c>
      <c r="T354" s="45"/>
      <c r="U354" s="45"/>
      <c r="V354" s="45"/>
      <c r="W354" s="45"/>
      <c r="X354" s="45"/>
      <c r="Y354" s="45"/>
      <c r="Z354" s="47"/>
      <c r="AA354" s="26"/>
      <c r="AB354" s="27"/>
    </row>
    <row r="355" spans="1:28" ht="16.5">
      <c r="A355" s="79" t="s">
        <v>570</v>
      </c>
      <c r="B355" s="80" t="s">
        <v>571</v>
      </c>
      <c r="C355" s="89">
        <v>0.27</v>
      </c>
      <c r="D355" s="75">
        <v>60000</v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6">
        <v>48000</v>
      </c>
      <c r="T355" s="45"/>
      <c r="U355" s="45"/>
      <c r="V355" s="45"/>
      <c r="W355" s="45"/>
      <c r="X355" s="45"/>
      <c r="Y355" s="45"/>
      <c r="Z355" s="47"/>
      <c r="AA355" s="26"/>
      <c r="AB355" s="27"/>
    </row>
    <row r="356" spans="1:28" ht="16.5">
      <c r="A356" s="79" t="s">
        <v>572</v>
      </c>
      <c r="B356" s="80" t="s">
        <v>573</v>
      </c>
      <c r="C356" s="89">
        <v>0.41</v>
      </c>
      <c r="D356" s="75">
        <v>90015</v>
      </c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>
        <v>36006</v>
      </c>
      <c r="Q356" s="46">
        <v>18003</v>
      </c>
      <c r="R356" s="46">
        <v>18003</v>
      </c>
      <c r="S356" s="45"/>
      <c r="T356" s="45"/>
      <c r="U356" s="45"/>
      <c r="V356" s="45"/>
      <c r="W356" s="45"/>
      <c r="X356" s="45"/>
      <c r="Y356" s="45"/>
      <c r="Z356" s="47"/>
      <c r="AA356" s="26"/>
      <c r="AB356" s="27"/>
    </row>
    <row r="357" spans="1:28" ht="33">
      <c r="A357" s="79" t="s">
        <v>574</v>
      </c>
      <c r="B357" s="80" t="s">
        <v>575</v>
      </c>
      <c r="C357" s="89">
        <v>0.05</v>
      </c>
      <c r="D357" s="75">
        <v>12000</v>
      </c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7"/>
      <c r="AA357" s="26"/>
      <c r="AB357" s="27"/>
    </row>
    <row r="358" spans="1:28" ht="16.5">
      <c r="A358" s="78" t="s">
        <v>576</v>
      </c>
      <c r="B358" s="53" t="s">
        <v>577</v>
      </c>
      <c r="C358" s="88">
        <v>0.27</v>
      </c>
      <c r="D358" s="87">
        <v>178000</v>
      </c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6">
        <f>Q364</f>
        <v>22000</v>
      </c>
      <c r="R358" s="46">
        <v>22000</v>
      </c>
      <c r="S358" s="46">
        <v>22000</v>
      </c>
      <c r="T358" s="39"/>
      <c r="U358" s="39"/>
      <c r="V358" s="39"/>
      <c r="W358" s="39"/>
      <c r="X358" s="39"/>
      <c r="Y358" s="39"/>
      <c r="Z358" s="40"/>
      <c r="AA358" s="26"/>
      <c r="AB358" s="27"/>
    </row>
    <row r="359" spans="1:28" ht="16.5">
      <c r="A359" s="79" t="s">
        <v>578</v>
      </c>
      <c r="B359" s="80" t="s">
        <v>579</v>
      </c>
      <c r="C359" s="89">
        <v>0.56</v>
      </c>
      <c r="D359" s="96">
        <v>100000</v>
      </c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7"/>
      <c r="AA359" s="26"/>
      <c r="AB359" s="27"/>
    </row>
    <row r="360" spans="1:28" ht="16.5">
      <c r="A360" s="79" t="s">
        <v>580</v>
      </c>
      <c r="B360" s="80" t="s">
        <v>581</v>
      </c>
      <c r="C360" s="89">
        <v>0.5</v>
      </c>
      <c r="D360" s="75">
        <v>50000</v>
      </c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>
        <v>40000</v>
      </c>
      <c r="Q360" s="45"/>
      <c r="R360" s="45"/>
      <c r="S360" s="45"/>
      <c r="T360" s="45"/>
      <c r="U360" s="45"/>
      <c r="V360" s="45"/>
      <c r="W360" s="45"/>
      <c r="X360" s="45"/>
      <c r="Y360" s="45"/>
      <c r="Z360" s="47"/>
      <c r="AA360" s="26"/>
      <c r="AB360" s="27"/>
    </row>
    <row r="361" spans="1:28" ht="16.5">
      <c r="A361" s="79" t="s">
        <v>582</v>
      </c>
      <c r="B361" s="80" t="s">
        <v>525</v>
      </c>
      <c r="C361" s="89">
        <v>0.5</v>
      </c>
      <c r="D361" s="75">
        <v>50000</v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>
        <v>40000</v>
      </c>
      <c r="Q361" s="45"/>
      <c r="R361" s="45"/>
      <c r="S361" s="45"/>
      <c r="T361" s="45"/>
      <c r="U361" s="45"/>
      <c r="V361" s="45"/>
      <c r="W361" s="45"/>
      <c r="X361" s="45"/>
      <c r="Y361" s="45"/>
      <c r="Z361" s="47"/>
      <c r="AA361" s="26"/>
      <c r="AB361" s="27"/>
    </row>
    <row r="362" spans="1:28" ht="16.5">
      <c r="A362" s="79" t="s">
        <v>583</v>
      </c>
      <c r="B362" s="80" t="s">
        <v>584</v>
      </c>
      <c r="C362" s="89">
        <v>0.04</v>
      </c>
      <c r="D362" s="75">
        <v>8000</v>
      </c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7"/>
      <c r="AA362" s="26"/>
      <c r="AB362" s="27"/>
    </row>
    <row r="363" spans="1:28" ht="16.5">
      <c r="A363" s="79" t="s">
        <v>585</v>
      </c>
      <c r="B363" s="80" t="s">
        <v>586</v>
      </c>
      <c r="C363" s="89">
        <v>0.08</v>
      </c>
      <c r="D363" s="75">
        <v>15000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7"/>
      <c r="AA363" s="26"/>
      <c r="AB363" s="27"/>
    </row>
    <row r="364" spans="1:28" ht="33">
      <c r="A364" s="79" t="s">
        <v>587</v>
      </c>
      <c r="B364" s="80" t="s">
        <v>588</v>
      </c>
      <c r="C364" s="89">
        <v>0.31</v>
      </c>
      <c r="D364" s="75">
        <v>55000</v>
      </c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6">
        <v>22000</v>
      </c>
      <c r="R364" s="46">
        <v>22000</v>
      </c>
      <c r="S364" s="46">
        <v>22000</v>
      </c>
      <c r="T364" s="45"/>
      <c r="U364" s="45"/>
      <c r="V364" s="45"/>
      <c r="W364" s="45"/>
      <c r="X364" s="45"/>
      <c r="Y364" s="45"/>
      <c r="Z364" s="47"/>
      <c r="AA364" s="26"/>
      <c r="AB364" s="27"/>
    </row>
    <row r="365" spans="1:28" ht="16.5">
      <c r="A365" s="78" t="s">
        <v>589</v>
      </c>
      <c r="B365" s="53" t="s">
        <v>590</v>
      </c>
      <c r="C365" s="88">
        <v>0.16</v>
      </c>
      <c r="D365" s="74">
        <f>+D366+D367</f>
        <v>105000</v>
      </c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46">
        <f>Q366</f>
        <v>20000</v>
      </c>
      <c r="R365" s="46">
        <v>20000</v>
      </c>
      <c r="S365" s="39"/>
      <c r="T365" s="39"/>
      <c r="U365" s="39"/>
      <c r="V365" s="39"/>
      <c r="W365" s="39"/>
      <c r="X365" s="39"/>
      <c r="Y365" s="39"/>
      <c r="Z365" s="40"/>
      <c r="AA365" s="26"/>
      <c r="AB365" s="27"/>
    </row>
    <row r="366" spans="1:28" ht="16.5">
      <c r="A366" s="79" t="s">
        <v>591</v>
      </c>
      <c r="B366" s="80" t="s">
        <v>592</v>
      </c>
      <c r="C366" s="89">
        <v>0.95</v>
      </c>
      <c r="D366" s="75">
        <v>100000</v>
      </c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>
        <v>40000</v>
      </c>
      <c r="Q366" s="46">
        <v>20000</v>
      </c>
      <c r="R366" s="46">
        <f>D366*0.2</f>
        <v>20000</v>
      </c>
      <c r="S366" s="45"/>
      <c r="T366" s="45"/>
      <c r="U366" s="45"/>
      <c r="V366" s="45"/>
      <c r="W366" s="45"/>
      <c r="X366" s="45"/>
      <c r="Y366" s="45"/>
      <c r="Z366" s="47"/>
      <c r="AA366" s="26"/>
      <c r="AB366" s="27"/>
    </row>
    <row r="367" spans="1:28" ht="16.5">
      <c r="A367" s="79" t="s">
        <v>593</v>
      </c>
      <c r="B367" s="80" t="s">
        <v>594</v>
      </c>
      <c r="C367" s="89">
        <v>0.05</v>
      </c>
      <c r="D367" s="75">
        <v>5000</v>
      </c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7"/>
      <c r="AA367" s="26"/>
      <c r="AB367" s="27"/>
    </row>
    <row r="368" spans="1:28" ht="16.5">
      <c r="A368" s="78" t="s">
        <v>595</v>
      </c>
      <c r="B368" s="53" t="s">
        <v>596</v>
      </c>
      <c r="C368" s="88">
        <v>0.24</v>
      </c>
      <c r="D368" s="74">
        <f>+D369+D370+D371</f>
        <v>160000</v>
      </c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6">
        <f>Q370</f>
        <v>14400</v>
      </c>
      <c r="R368" s="46">
        <v>14400</v>
      </c>
      <c r="S368" s="46">
        <v>64000</v>
      </c>
      <c r="T368" s="39"/>
      <c r="U368" s="39"/>
      <c r="V368" s="39"/>
      <c r="W368" s="39"/>
      <c r="X368" s="39"/>
      <c r="Y368" s="39"/>
      <c r="Z368" s="40"/>
      <c r="AA368" s="26"/>
      <c r="AB368" s="27"/>
    </row>
    <row r="369" spans="1:28" ht="16.5">
      <c r="A369" s="79" t="s">
        <v>597</v>
      </c>
      <c r="B369" s="80" t="s">
        <v>598</v>
      </c>
      <c r="C369" s="68">
        <v>0.5</v>
      </c>
      <c r="D369" s="75">
        <v>80000</v>
      </c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6">
        <v>64000</v>
      </c>
      <c r="T369" s="45"/>
      <c r="U369" s="45"/>
      <c r="V369" s="45"/>
      <c r="W369" s="45"/>
      <c r="X369" s="45"/>
      <c r="Y369" s="45"/>
      <c r="Z369" s="47"/>
      <c r="AA369" s="26"/>
      <c r="AB369" s="27"/>
    </row>
    <row r="370" spans="1:28" ht="16.5">
      <c r="A370" s="79" t="s">
        <v>599</v>
      </c>
      <c r="B370" s="80" t="s">
        <v>600</v>
      </c>
      <c r="C370" s="68">
        <v>0.45</v>
      </c>
      <c r="D370" s="75">
        <v>72000</v>
      </c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>
        <v>28800</v>
      </c>
      <c r="Q370" s="46">
        <v>14400</v>
      </c>
      <c r="R370" s="46">
        <f>D370*0.2</f>
        <v>14400</v>
      </c>
      <c r="S370" s="45"/>
      <c r="T370" s="45"/>
      <c r="U370" s="45"/>
      <c r="V370" s="45"/>
      <c r="W370" s="45"/>
      <c r="X370" s="45"/>
      <c r="Y370" s="45"/>
      <c r="Z370" s="47"/>
      <c r="AA370" s="26"/>
      <c r="AB370" s="27"/>
    </row>
    <row r="371" spans="1:28" ht="16.5">
      <c r="A371" s="79" t="s">
        <v>601</v>
      </c>
      <c r="B371" s="80" t="s">
        <v>527</v>
      </c>
      <c r="C371" s="68">
        <v>0.05</v>
      </c>
      <c r="D371" s="75">
        <v>8000</v>
      </c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7"/>
      <c r="AA371" s="26"/>
      <c r="AB371" s="27"/>
    </row>
    <row r="372" spans="1:28" ht="28.5">
      <c r="A372" s="54" t="s">
        <v>602</v>
      </c>
      <c r="B372" s="97" t="s">
        <v>603</v>
      </c>
      <c r="C372" s="98" t="s">
        <v>604</v>
      </c>
      <c r="D372" s="57">
        <v>1298550</v>
      </c>
      <c r="E372" s="58">
        <f>SUM(E373:E383)</f>
        <v>0</v>
      </c>
      <c r="F372" s="58">
        <f>SUM(F373:F383)</f>
        <v>0</v>
      </c>
      <c r="G372" s="58">
        <f>SUM(G373:G383)</f>
        <v>0</v>
      </c>
      <c r="H372" s="58">
        <f>SUM(H373:H383)</f>
        <v>0</v>
      </c>
      <c r="I372" s="58">
        <f>SUM(I373:I383)</f>
        <v>0</v>
      </c>
      <c r="J372" s="58">
        <f>SUM(J373:J383)</f>
        <v>740213.1599999999</v>
      </c>
      <c r="K372" s="58">
        <f>SUM(K373:K383)</f>
        <v>246736.74</v>
      </c>
      <c r="L372" s="58">
        <f>SUM(L373:L383)</f>
        <v>246736.74</v>
      </c>
      <c r="M372" s="58">
        <f>SUM(M373:M383)</f>
        <v>0</v>
      </c>
      <c r="N372" s="58">
        <f>SUM(N373:N383)</f>
        <v>0</v>
      </c>
      <c r="O372" s="58">
        <f>SUM(O373:O383)</f>
        <v>0</v>
      </c>
      <c r="P372" s="58">
        <f>SUM(P373:P383)</f>
        <v>0</v>
      </c>
      <c r="Q372" s="58">
        <f>SUM(Q373:Q383)</f>
        <v>0</v>
      </c>
      <c r="R372" s="58">
        <f>SUM(R373:R383)</f>
        <v>0</v>
      </c>
      <c r="S372" s="58">
        <f>S380</f>
        <v>64864.22</v>
      </c>
      <c r="T372" s="58">
        <f>SUM(T373:T383)</f>
        <v>0</v>
      </c>
      <c r="U372" s="58">
        <f>SUM(U373:U383)</f>
        <v>0</v>
      </c>
      <c r="V372" s="58">
        <f>SUM(V373:V383)</f>
        <v>0</v>
      </c>
      <c r="W372" s="58">
        <f>SUM(W373:W383)</f>
        <v>0</v>
      </c>
      <c r="X372" s="58">
        <f>SUM(X373:X383)</f>
        <v>0</v>
      </c>
      <c r="Y372" s="58">
        <f>SUM(Y373:Y383)</f>
        <v>0</v>
      </c>
      <c r="Z372" s="58">
        <f>SUM(Z373:Z383)</f>
        <v>0</v>
      </c>
      <c r="AA372" s="26"/>
      <c r="AB372" s="27"/>
    </row>
    <row r="373" spans="1:256" ht="33">
      <c r="A373" s="35">
        <v>1</v>
      </c>
      <c r="B373" s="36" t="s">
        <v>605</v>
      </c>
      <c r="C373" s="61">
        <v>0.95</v>
      </c>
      <c r="D373" s="60">
        <v>1233622.5</v>
      </c>
      <c r="E373" s="39"/>
      <c r="F373" s="39"/>
      <c r="G373" s="39"/>
      <c r="H373" s="39"/>
      <c r="I373" s="39"/>
      <c r="J373" s="48"/>
      <c r="K373" s="48"/>
      <c r="L373" s="48"/>
      <c r="M373" s="99"/>
      <c r="N373" s="99"/>
      <c r="O373" s="48"/>
      <c r="P373" s="48"/>
      <c r="Q373" s="48"/>
      <c r="R373" s="39"/>
      <c r="S373" s="39"/>
      <c r="T373" s="39"/>
      <c r="U373" s="39"/>
      <c r="V373" s="39"/>
      <c r="W373" s="39"/>
      <c r="X373" s="39"/>
      <c r="Y373" s="39"/>
      <c r="Z373" s="40"/>
      <c r="AA373" s="26"/>
      <c r="AB373" s="27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  <c r="IU373" s="34"/>
      <c r="IV373" s="34"/>
    </row>
    <row r="374" spans="1:28" ht="16.5">
      <c r="A374" s="78" t="s">
        <v>10</v>
      </c>
      <c r="B374" s="53" t="s">
        <v>407</v>
      </c>
      <c r="C374" s="61">
        <v>0.1</v>
      </c>
      <c r="D374" s="60">
        <v>123362</v>
      </c>
      <c r="E374" s="39"/>
      <c r="F374" s="39"/>
      <c r="G374" s="39"/>
      <c r="H374" s="39"/>
      <c r="I374" s="39"/>
      <c r="J374" s="51">
        <v>98689.6</v>
      </c>
      <c r="K374" s="50"/>
      <c r="L374" s="51">
        <v>24672.4</v>
      </c>
      <c r="M374" s="99"/>
      <c r="N374" s="99"/>
      <c r="O374" s="48"/>
      <c r="P374" s="48"/>
      <c r="Q374" s="48"/>
      <c r="R374" s="39"/>
      <c r="S374" s="39"/>
      <c r="T374" s="39"/>
      <c r="U374" s="39"/>
      <c r="V374" s="39"/>
      <c r="W374" s="39"/>
      <c r="X374" s="39"/>
      <c r="Y374" s="39"/>
      <c r="Z374" s="40"/>
      <c r="AA374" s="26"/>
      <c r="AB374" s="27"/>
    </row>
    <row r="375" spans="1:28" ht="16.5">
      <c r="A375" s="78" t="s">
        <v>20</v>
      </c>
      <c r="B375" s="53" t="s">
        <v>412</v>
      </c>
      <c r="C375" s="61">
        <v>0.25</v>
      </c>
      <c r="D375" s="60">
        <v>308405</v>
      </c>
      <c r="E375" s="39"/>
      <c r="F375" s="39"/>
      <c r="G375" s="39"/>
      <c r="H375" s="39"/>
      <c r="I375" s="39"/>
      <c r="J375" s="51">
        <v>215883.5</v>
      </c>
      <c r="K375" s="51">
        <v>30069.49</v>
      </c>
      <c r="L375" s="51">
        <v>62452.009999999995</v>
      </c>
      <c r="M375" s="99"/>
      <c r="N375" s="99"/>
      <c r="O375" s="48"/>
      <c r="P375" s="48"/>
      <c r="Q375" s="48"/>
      <c r="R375" s="39"/>
      <c r="S375" s="39"/>
      <c r="T375" s="39"/>
      <c r="U375" s="39"/>
      <c r="V375" s="39"/>
      <c r="W375" s="39"/>
      <c r="X375" s="39"/>
      <c r="Y375" s="39"/>
      <c r="Z375" s="40"/>
      <c r="AA375" s="26"/>
      <c r="AB375" s="27"/>
    </row>
    <row r="376" spans="1:28" ht="16.5">
      <c r="A376" s="78" t="s">
        <v>87</v>
      </c>
      <c r="B376" s="53" t="s">
        <v>606</v>
      </c>
      <c r="C376" s="61">
        <v>0.04</v>
      </c>
      <c r="D376" s="60">
        <v>49410.64</v>
      </c>
      <c r="E376" s="39"/>
      <c r="F376" s="39"/>
      <c r="G376" s="39"/>
      <c r="H376" s="39"/>
      <c r="I376" s="39"/>
      <c r="J376" s="51">
        <v>40958.43</v>
      </c>
      <c r="K376" s="50"/>
      <c r="L376" s="51">
        <v>8452.21</v>
      </c>
      <c r="M376" s="99"/>
      <c r="N376" s="99"/>
      <c r="O376" s="48"/>
      <c r="P376" s="48"/>
      <c r="Q376" s="48"/>
      <c r="R376" s="39"/>
      <c r="S376" s="39"/>
      <c r="T376" s="39"/>
      <c r="U376" s="39"/>
      <c r="V376" s="39"/>
      <c r="W376" s="39"/>
      <c r="X376" s="39"/>
      <c r="Y376" s="39"/>
      <c r="Z376" s="40"/>
      <c r="AA376" s="26"/>
      <c r="AB376" s="27"/>
    </row>
    <row r="377" spans="1:28" ht="16.5">
      <c r="A377" s="78" t="s">
        <v>89</v>
      </c>
      <c r="B377" s="53" t="s">
        <v>607</v>
      </c>
      <c r="C377" s="61">
        <v>0.13</v>
      </c>
      <c r="D377" s="60">
        <v>160370</v>
      </c>
      <c r="E377" s="39"/>
      <c r="F377" s="39"/>
      <c r="G377" s="39"/>
      <c r="H377" s="39"/>
      <c r="I377" s="39"/>
      <c r="J377" s="51">
        <v>127638.48</v>
      </c>
      <c r="K377" s="50"/>
      <c r="L377" s="51">
        <v>32731.52</v>
      </c>
      <c r="M377" s="99"/>
      <c r="N377" s="99"/>
      <c r="O377" s="48"/>
      <c r="P377" s="48"/>
      <c r="Q377" s="48"/>
      <c r="R377" s="39"/>
      <c r="S377" s="39"/>
      <c r="T377" s="39"/>
      <c r="U377" s="39"/>
      <c r="V377" s="39"/>
      <c r="W377" s="39"/>
      <c r="X377" s="39"/>
      <c r="Y377" s="39"/>
      <c r="Z377" s="40"/>
      <c r="AA377" s="26"/>
      <c r="AB377" s="27"/>
    </row>
    <row r="378" spans="1:28" ht="16.5">
      <c r="A378" s="78" t="s">
        <v>91</v>
      </c>
      <c r="B378" s="53" t="s">
        <v>419</v>
      </c>
      <c r="C378" s="61">
        <v>0.43</v>
      </c>
      <c r="D378" s="60">
        <v>529345</v>
      </c>
      <c r="E378" s="39"/>
      <c r="F378" s="39"/>
      <c r="G378" s="39"/>
      <c r="H378" s="39"/>
      <c r="I378" s="39"/>
      <c r="J378" s="51">
        <v>238205.25</v>
      </c>
      <c r="K378" s="51">
        <v>185270.75</v>
      </c>
      <c r="L378" s="51">
        <v>105869</v>
      </c>
      <c r="M378" s="99"/>
      <c r="N378" s="99"/>
      <c r="O378" s="48"/>
      <c r="P378" s="48"/>
      <c r="Q378" s="48"/>
      <c r="R378" s="39"/>
      <c r="S378" s="39"/>
      <c r="T378" s="39"/>
      <c r="U378" s="39"/>
      <c r="V378" s="39"/>
      <c r="W378" s="39"/>
      <c r="X378" s="39"/>
      <c r="Y378" s="39"/>
      <c r="Z378" s="40"/>
      <c r="AA378" s="26"/>
      <c r="AB378" s="27"/>
    </row>
    <row r="379" spans="1:28" ht="16.5">
      <c r="A379" s="78" t="s">
        <v>93</v>
      </c>
      <c r="B379" s="53" t="s">
        <v>608</v>
      </c>
      <c r="C379" s="61">
        <v>0.05</v>
      </c>
      <c r="D379" s="60">
        <v>62794.00000000001</v>
      </c>
      <c r="E379" s="39"/>
      <c r="F379" s="39"/>
      <c r="G379" s="39"/>
      <c r="H379" s="39"/>
      <c r="I379" s="39"/>
      <c r="J379" s="51">
        <v>18837.9</v>
      </c>
      <c r="K379" s="51">
        <v>31396.5</v>
      </c>
      <c r="L379" s="51">
        <v>12559.600000000006</v>
      </c>
      <c r="M379" s="99"/>
      <c r="N379" s="100"/>
      <c r="O379" s="48"/>
      <c r="P379" s="48"/>
      <c r="Q379" s="48"/>
      <c r="R379" s="39"/>
      <c r="S379" s="39"/>
      <c r="T379" s="39"/>
      <c r="U379" s="39"/>
      <c r="V379" s="39"/>
      <c r="W379" s="39"/>
      <c r="X379" s="39"/>
      <c r="Y379" s="39"/>
      <c r="Z379" s="40"/>
      <c r="AA379" s="26"/>
      <c r="AB379" s="27"/>
    </row>
    <row r="380" spans="1:256" ht="33">
      <c r="A380" s="35">
        <v>2</v>
      </c>
      <c r="B380" s="101" t="s">
        <v>609</v>
      </c>
      <c r="C380" s="61">
        <v>0.05</v>
      </c>
      <c r="D380" s="60">
        <v>64927.5</v>
      </c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52"/>
      <c r="Q380" s="39"/>
      <c r="R380" s="39"/>
      <c r="S380" s="46">
        <f>S381+S382+S383</f>
        <v>64864.22</v>
      </c>
      <c r="T380" s="39"/>
      <c r="U380" s="39"/>
      <c r="V380" s="39"/>
      <c r="W380" s="39"/>
      <c r="X380" s="39"/>
      <c r="Y380" s="39"/>
      <c r="Z380" s="40"/>
      <c r="AA380" s="26"/>
      <c r="AB380" s="27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  <c r="IV380" s="34"/>
    </row>
    <row r="381" spans="1:28" ht="16.5">
      <c r="A381" s="35" t="s">
        <v>62</v>
      </c>
      <c r="B381" s="82" t="s">
        <v>163</v>
      </c>
      <c r="C381" s="61">
        <v>0.1</v>
      </c>
      <c r="D381" s="74">
        <v>6427.86</v>
      </c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46">
        <v>6427.86</v>
      </c>
      <c r="T381" s="39"/>
      <c r="U381" s="39"/>
      <c r="V381" s="39"/>
      <c r="W381" s="39"/>
      <c r="X381" s="39"/>
      <c r="Y381" s="39"/>
      <c r="Z381" s="40"/>
      <c r="AA381" s="26"/>
      <c r="AB381" s="27"/>
    </row>
    <row r="382" spans="1:28" ht="16.5">
      <c r="A382" s="35" t="s">
        <v>64</v>
      </c>
      <c r="B382" s="82" t="s">
        <v>610</v>
      </c>
      <c r="C382" s="61">
        <v>0.35</v>
      </c>
      <c r="D382" s="74">
        <v>22724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46">
        <v>22724.86</v>
      </c>
      <c r="T382" s="39"/>
      <c r="U382" s="39"/>
      <c r="V382" s="39"/>
      <c r="W382" s="39"/>
      <c r="X382" s="39"/>
      <c r="Y382" s="39"/>
      <c r="Z382" s="40"/>
      <c r="AA382" s="26"/>
      <c r="AB382" s="27"/>
    </row>
    <row r="383" spans="1:28" ht="16.5">
      <c r="A383" s="35" t="s">
        <v>66</v>
      </c>
      <c r="B383" s="82" t="s">
        <v>419</v>
      </c>
      <c r="C383" s="61">
        <v>0.55</v>
      </c>
      <c r="D383" s="74">
        <v>35711.5</v>
      </c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46">
        <f>D383</f>
        <v>35711.5</v>
      </c>
      <c r="T383" s="39"/>
      <c r="U383" s="39"/>
      <c r="V383" s="39"/>
      <c r="W383" s="39"/>
      <c r="X383" s="39"/>
      <c r="Y383" s="39"/>
      <c r="Z383" s="40"/>
      <c r="AA383" s="26"/>
      <c r="AB383" s="27"/>
    </row>
    <row r="384" spans="1:28" ht="30">
      <c r="A384" s="54" t="s">
        <v>611</v>
      </c>
      <c r="B384" s="55" t="s">
        <v>612</v>
      </c>
      <c r="C384" s="102" t="s">
        <v>613</v>
      </c>
      <c r="D384" s="57">
        <v>8617649.999999998</v>
      </c>
      <c r="E384" s="58">
        <f>SUM(E385:E394)</f>
        <v>0</v>
      </c>
      <c r="F384" s="58">
        <f>SUM(F385:F394)</f>
        <v>0</v>
      </c>
      <c r="G384" s="58">
        <f>SUM(G385:G394)</f>
        <v>0</v>
      </c>
      <c r="H384" s="58">
        <f>SUM(H385:H394)</f>
        <v>0</v>
      </c>
      <c r="I384" s="58">
        <f>SUM(I385:I394)</f>
        <v>0</v>
      </c>
      <c r="J384" s="58">
        <f>SUM(J385:J394)</f>
        <v>0</v>
      </c>
      <c r="K384" s="58">
        <f>SUM(K385:K394)</f>
        <v>0</v>
      </c>
      <c r="L384" s="58">
        <f>SUM(L385:L394)</f>
        <v>0</v>
      </c>
      <c r="M384" s="58">
        <f>SUM(M385:M394)</f>
        <v>0</v>
      </c>
      <c r="N384" s="58">
        <f>SUM(N385:N394)</f>
        <v>0</v>
      </c>
      <c r="O384" s="58">
        <f>SUM(O385:O394)</f>
        <v>0</v>
      </c>
      <c r="P384" s="58">
        <f>SUM(P385:P394)</f>
        <v>3731442.4499999993</v>
      </c>
      <c r="Q384" s="58">
        <f>Q386+Q393</f>
        <v>1680441.75</v>
      </c>
      <c r="R384" s="58">
        <f>SUM(R385:R394)</f>
        <v>1077206.2499999998</v>
      </c>
      <c r="S384" s="58">
        <f>SUM(S385:S394)-S388-S389</f>
        <v>1844177.0999999999</v>
      </c>
      <c r="T384" s="58">
        <f>SUM(T385:T394)</f>
        <v>0</v>
      </c>
      <c r="U384" s="58">
        <f>SUM(U385:U394)</f>
        <v>0</v>
      </c>
      <c r="V384" s="58">
        <f>SUM(V385:V394)</f>
        <v>0</v>
      </c>
      <c r="W384" s="58">
        <f>SUM(W385:W394)</f>
        <v>0</v>
      </c>
      <c r="X384" s="58">
        <f>SUM(X385:X394)</f>
        <v>0</v>
      </c>
      <c r="Y384" s="58">
        <f>SUM(Y385:Y394)</f>
        <v>0</v>
      </c>
      <c r="Z384" s="58">
        <f>SUM(Z385:Z394)</f>
        <v>0</v>
      </c>
      <c r="AA384" s="26"/>
      <c r="AB384" s="27"/>
    </row>
    <row r="385" spans="1:256" ht="16.5">
      <c r="A385" s="35">
        <v>1</v>
      </c>
      <c r="B385" s="36" t="s">
        <v>614</v>
      </c>
      <c r="C385" s="103">
        <v>0.06</v>
      </c>
      <c r="D385" s="60">
        <v>517058.9999999999</v>
      </c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4"/>
      <c r="Q385" s="39"/>
      <c r="R385" s="46">
        <v>413647.2</v>
      </c>
      <c r="S385" s="46">
        <v>103411.8</v>
      </c>
      <c r="T385" s="39"/>
      <c r="U385" s="39"/>
      <c r="V385" s="39"/>
      <c r="W385" s="39"/>
      <c r="X385" s="39"/>
      <c r="Y385" s="39"/>
      <c r="Z385" s="40"/>
      <c r="AA385" s="26"/>
      <c r="AB385" s="27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  <c r="IV385" s="34"/>
    </row>
    <row r="386" spans="1:256" ht="16.5">
      <c r="A386" s="35">
        <v>2</v>
      </c>
      <c r="B386" s="36" t="s">
        <v>615</v>
      </c>
      <c r="C386" s="103">
        <v>0.47</v>
      </c>
      <c r="D386" s="60">
        <v>4050295.499999999</v>
      </c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46">
        <v>1620118.2</v>
      </c>
      <c r="Q386" s="46">
        <v>1620118.2</v>
      </c>
      <c r="R386" s="39"/>
      <c r="S386" s="46">
        <v>810059.1</v>
      </c>
      <c r="T386" s="39"/>
      <c r="U386" s="39"/>
      <c r="V386" s="39"/>
      <c r="W386" s="39"/>
      <c r="X386" s="39"/>
      <c r="Y386" s="39"/>
      <c r="Z386" s="40"/>
      <c r="AA386" s="26"/>
      <c r="AB386" s="27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  <c r="IV386" s="34"/>
    </row>
    <row r="387" spans="1:256" ht="16.5">
      <c r="A387" s="35">
        <v>3</v>
      </c>
      <c r="B387" s="36" t="s">
        <v>616</v>
      </c>
      <c r="C387" s="103">
        <v>0.07</v>
      </c>
      <c r="D387" s="60">
        <v>603235.4999999999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46">
        <v>180970.65</v>
      </c>
      <c r="T387" s="39"/>
      <c r="U387" s="39"/>
      <c r="V387" s="39"/>
      <c r="W387" s="39"/>
      <c r="X387" s="39"/>
      <c r="Y387" s="39"/>
      <c r="Z387" s="40"/>
      <c r="AA387" s="26"/>
      <c r="AB387" s="27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  <c r="IV387" s="34"/>
    </row>
    <row r="388" spans="1:28" ht="16.5">
      <c r="A388" s="35" t="s">
        <v>71</v>
      </c>
      <c r="B388" s="36" t="s">
        <v>617</v>
      </c>
      <c r="C388" s="103">
        <v>0.8</v>
      </c>
      <c r="D388" s="60">
        <v>482588.4</v>
      </c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46">
        <f aca="true" t="shared" si="7" ref="P388:P389">D388*0.7</f>
        <v>337811.88</v>
      </c>
      <c r="Q388" s="39"/>
      <c r="R388" s="39"/>
      <c r="S388" s="46">
        <v>144776.52</v>
      </c>
      <c r="T388" s="39"/>
      <c r="U388" s="39"/>
      <c r="V388" s="39"/>
      <c r="W388" s="39"/>
      <c r="X388" s="39"/>
      <c r="Y388" s="39"/>
      <c r="Z388" s="40"/>
      <c r="AA388" s="26"/>
      <c r="AB388" s="27"/>
    </row>
    <row r="389" spans="1:28" ht="16.5">
      <c r="A389" s="35" t="s">
        <v>73</v>
      </c>
      <c r="B389" s="36" t="s">
        <v>618</v>
      </c>
      <c r="C389" s="103">
        <v>0.2</v>
      </c>
      <c r="D389" s="60">
        <v>120647.1</v>
      </c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46">
        <f t="shared" si="7"/>
        <v>84452.97</v>
      </c>
      <c r="Q389" s="39"/>
      <c r="R389" s="39"/>
      <c r="S389" s="46">
        <v>36194.13</v>
      </c>
      <c r="T389" s="39"/>
      <c r="U389" s="39"/>
      <c r="V389" s="39"/>
      <c r="W389" s="39"/>
      <c r="X389" s="39"/>
      <c r="Y389" s="39"/>
      <c r="Z389" s="40"/>
      <c r="AA389" s="26"/>
      <c r="AB389" s="27"/>
    </row>
    <row r="390" spans="1:256" ht="16.5">
      <c r="A390" s="35">
        <v>4</v>
      </c>
      <c r="B390" s="36" t="s">
        <v>619</v>
      </c>
      <c r="C390" s="103">
        <v>0.06</v>
      </c>
      <c r="D390" s="60">
        <v>517058.9999999999</v>
      </c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4"/>
      <c r="P390" s="46">
        <v>361941.2999999999</v>
      </c>
      <c r="Q390" s="39"/>
      <c r="R390" s="39"/>
      <c r="S390" s="46">
        <v>155117.7</v>
      </c>
      <c r="T390" s="39"/>
      <c r="U390" s="39"/>
      <c r="V390" s="39"/>
      <c r="W390" s="39"/>
      <c r="X390" s="39"/>
      <c r="Y390" s="39"/>
      <c r="Z390" s="40"/>
      <c r="AA390" s="26"/>
      <c r="AB390" s="27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  <c r="IU390" s="34"/>
      <c r="IV390" s="34"/>
    </row>
    <row r="391" spans="1:256" ht="16.5">
      <c r="A391" s="35">
        <v>5</v>
      </c>
      <c r="B391" s="36" t="s">
        <v>620</v>
      </c>
      <c r="C391" s="103">
        <v>0.13</v>
      </c>
      <c r="D391" s="60">
        <v>1120294.4999999998</v>
      </c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46">
        <v>784206.1499999998</v>
      </c>
      <c r="Q391" s="39"/>
      <c r="R391" s="39"/>
      <c r="S391" s="46">
        <v>336088.35</v>
      </c>
      <c r="T391" s="39"/>
      <c r="U391" s="39"/>
      <c r="V391" s="39"/>
      <c r="W391" s="39"/>
      <c r="X391" s="39"/>
      <c r="Y391" s="39"/>
      <c r="Z391" s="40"/>
      <c r="AA391" s="26"/>
      <c r="AB391" s="27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  <c r="IV391" s="34"/>
    </row>
    <row r="392" spans="1:256" ht="16.5">
      <c r="A392" s="35">
        <v>6</v>
      </c>
      <c r="B392" s="36" t="s">
        <v>621</v>
      </c>
      <c r="C392" s="103">
        <v>0.09</v>
      </c>
      <c r="D392" s="60">
        <v>775588.4999999998</v>
      </c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46">
        <v>542911.9499999998</v>
      </c>
      <c r="Q392" s="39"/>
      <c r="R392" s="39"/>
      <c r="S392" s="46">
        <v>232676.55</v>
      </c>
      <c r="T392" s="39"/>
      <c r="U392" s="39"/>
      <c r="V392" s="39"/>
      <c r="W392" s="39"/>
      <c r="X392" s="39"/>
      <c r="Y392" s="39"/>
      <c r="Z392" s="40"/>
      <c r="AA392" s="26"/>
      <c r="AB392" s="27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  <c r="IU392" s="34"/>
      <c r="IV392" s="34"/>
    </row>
    <row r="393" spans="1:256" ht="16.5">
      <c r="A393" s="35">
        <v>7</v>
      </c>
      <c r="B393" s="36" t="s">
        <v>622</v>
      </c>
      <c r="C393" s="103">
        <v>0.01</v>
      </c>
      <c r="D393" s="60">
        <v>86176.49999999999</v>
      </c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4"/>
      <c r="Q393" s="46">
        <v>60323.54999999999</v>
      </c>
      <c r="R393" s="39"/>
      <c r="S393" s="46">
        <v>25852.95</v>
      </c>
      <c r="T393" s="39"/>
      <c r="U393" s="39"/>
      <c r="V393" s="39"/>
      <c r="W393" s="39"/>
      <c r="X393" s="39"/>
      <c r="Y393" s="39"/>
      <c r="Z393" s="40"/>
      <c r="AA393" s="26"/>
      <c r="AB393" s="27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  <c r="IU393" s="34"/>
      <c r="IV393" s="34"/>
    </row>
    <row r="394" spans="1:256" ht="16.5">
      <c r="A394" s="35">
        <v>8</v>
      </c>
      <c r="B394" s="36" t="s">
        <v>623</v>
      </c>
      <c r="C394" s="103">
        <v>0.11</v>
      </c>
      <c r="D394" s="60">
        <v>947941.4999999998</v>
      </c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4"/>
      <c r="Q394" s="34"/>
      <c r="R394" s="46">
        <v>663559.0499999998</v>
      </c>
      <c r="S394" s="39"/>
      <c r="T394" s="39"/>
      <c r="U394" s="39"/>
      <c r="V394" s="39"/>
      <c r="W394" s="39"/>
      <c r="X394" s="39"/>
      <c r="Y394" s="39"/>
      <c r="Z394" s="40"/>
      <c r="AA394" s="26"/>
      <c r="AB394" s="27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  <c r="IU394" s="34"/>
      <c r="IV394" s="34"/>
    </row>
    <row r="395" spans="1:28" ht="33">
      <c r="A395" s="54" t="s">
        <v>624</v>
      </c>
      <c r="B395" s="55" t="s">
        <v>625</v>
      </c>
      <c r="C395" s="104" t="s">
        <v>626</v>
      </c>
      <c r="D395" s="57">
        <v>8381550</v>
      </c>
      <c r="E395" s="58">
        <f>SUM(E396:E426)</f>
        <v>0</v>
      </c>
      <c r="F395" s="58">
        <f>SUM(F396:F426)</f>
        <v>0</v>
      </c>
      <c r="G395" s="58">
        <f>SUM(G396:G426)</f>
        <v>0</v>
      </c>
      <c r="H395" s="58">
        <f>SUM(H396:H426)</f>
        <v>0</v>
      </c>
      <c r="I395" s="58">
        <f>SUM(I396:I426)</f>
        <v>0</v>
      </c>
      <c r="J395" s="58">
        <f>SUM(J396:J426)</f>
        <v>0</v>
      </c>
      <c r="K395" s="58">
        <f>SUM(K396:K426)</f>
        <v>0</v>
      </c>
      <c r="L395" s="58">
        <f>SUM(L396:L426)</f>
        <v>0</v>
      </c>
      <c r="M395" s="58">
        <f>SUM(M396:M426)</f>
        <v>0</v>
      </c>
      <c r="N395" s="58">
        <f>SUM(N396:N426)</f>
        <v>0</v>
      </c>
      <c r="O395" s="58">
        <f>SUM(O396:O427)</f>
        <v>52905.020000000004</v>
      </c>
      <c r="P395" s="58">
        <f>SUM(P396:P427)</f>
        <v>264070.74</v>
      </c>
      <c r="Q395" s="58">
        <f>Q396+Q405+Q423</f>
        <v>620435.1299999999</v>
      </c>
      <c r="R395" s="58">
        <f>R396+R405+R423</f>
        <v>5203141.24</v>
      </c>
      <c r="S395" s="58">
        <f>S396+S405+S423</f>
        <v>868010.78</v>
      </c>
      <c r="T395" s="58">
        <f>SUM(T396:T427)</f>
        <v>70000</v>
      </c>
      <c r="U395" s="58">
        <f>SUM(U396:U426)</f>
        <v>0</v>
      </c>
      <c r="V395" s="58">
        <f>SUM(V396:V426)</f>
        <v>0</v>
      </c>
      <c r="W395" s="58">
        <f>SUM(W396:W426)</f>
        <v>0</v>
      </c>
      <c r="X395" s="58">
        <f>SUM(X396:X426)</f>
        <v>0</v>
      </c>
      <c r="Y395" s="58">
        <f>SUM(Y396:Y426)</f>
        <v>0</v>
      </c>
      <c r="Z395" s="58">
        <f>SUM(Z396:Z426)</f>
        <v>0</v>
      </c>
      <c r="AA395" s="26"/>
      <c r="AB395" s="27"/>
    </row>
    <row r="396" spans="1:256" ht="49.5">
      <c r="A396" s="35"/>
      <c r="B396" s="64" t="s">
        <v>627</v>
      </c>
      <c r="C396" s="103">
        <v>0.91</v>
      </c>
      <c r="D396" s="60">
        <v>7627210.5</v>
      </c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46">
        <v>488141.47</v>
      </c>
      <c r="R396" s="46">
        <v>4972941.24</v>
      </c>
      <c r="S396" s="46">
        <v>732212.21</v>
      </c>
      <c r="T396" s="39"/>
      <c r="U396" s="39"/>
      <c r="V396" s="39"/>
      <c r="W396" s="39"/>
      <c r="X396" s="39"/>
      <c r="Y396" s="39"/>
      <c r="Z396" s="40"/>
      <c r="AA396" s="26"/>
      <c r="AB396" s="27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  <c r="IU396" s="34"/>
      <c r="IV396" s="34"/>
    </row>
    <row r="397" spans="1:28" ht="33">
      <c r="A397" s="78" t="s">
        <v>10</v>
      </c>
      <c r="B397" s="53" t="s">
        <v>628</v>
      </c>
      <c r="C397" s="103">
        <v>0.8</v>
      </c>
      <c r="D397" s="74">
        <v>6101768.4</v>
      </c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46">
        <v>488141.47</v>
      </c>
      <c r="R397" s="46">
        <v>3905131.78</v>
      </c>
      <c r="S397" s="46">
        <v>732212.21</v>
      </c>
      <c r="T397" s="39"/>
      <c r="U397" s="39"/>
      <c r="V397" s="39"/>
      <c r="W397" s="39"/>
      <c r="X397" s="39"/>
      <c r="Y397" s="39"/>
      <c r="Z397" s="40"/>
      <c r="AA397" s="26"/>
      <c r="AB397" s="27"/>
    </row>
    <row r="398" spans="1:28" ht="33">
      <c r="A398" s="79" t="s">
        <v>12</v>
      </c>
      <c r="B398" s="80" t="s">
        <v>629</v>
      </c>
      <c r="C398" s="105">
        <v>0.2</v>
      </c>
      <c r="D398" s="75">
        <v>1220353.6800000002</v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6">
        <v>244070.74</v>
      </c>
      <c r="Q398" s="46">
        <v>488141.47</v>
      </c>
      <c r="R398" s="46">
        <v>488141.47</v>
      </c>
      <c r="S398" s="45"/>
      <c r="T398" s="45"/>
      <c r="U398" s="45"/>
      <c r="V398" s="45"/>
      <c r="W398" s="45"/>
      <c r="X398" s="45"/>
      <c r="Y398" s="45"/>
      <c r="Z398" s="47"/>
      <c r="AA398" s="26"/>
      <c r="AB398" s="27"/>
    </row>
    <row r="399" spans="1:28" ht="33">
      <c r="A399" s="79" t="s">
        <v>14</v>
      </c>
      <c r="B399" s="80" t="s">
        <v>630</v>
      </c>
      <c r="C399" s="105">
        <v>0.1</v>
      </c>
      <c r="D399" s="75">
        <v>610176.8400000001</v>
      </c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6">
        <v>610176.84</v>
      </c>
      <c r="T399" s="45"/>
      <c r="U399" s="45"/>
      <c r="V399" s="45"/>
      <c r="W399" s="45"/>
      <c r="X399" s="45"/>
      <c r="Y399" s="45"/>
      <c r="Z399" s="47"/>
      <c r="AA399" s="26"/>
      <c r="AB399" s="27"/>
    </row>
    <row r="400" spans="1:31" ht="49.5">
      <c r="A400" s="79" t="s">
        <v>16</v>
      </c>
      <c r="B400" s="80" t="s">
        <v>631</v>
      </c>
      <c r="C400" s="105">
        <v>0.6</v>
      </c>
      <c r="D400" s="75">
        <v>3661061.04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6">
        <v>2928848.83</v>
      </c>
      <c r="S400" s="45"/>
      <c r="T400" s="45"/>
      <c r="U400" s="45"/>
      <c r="V400" s="45"/>
      <c r="W400" s="45"/>
      <c r="X400" s="45"/>
      <c r="Y400" s="45"/>
      <c r="Z400" s="47"/>
      <c r="AA400" s="26"/>
      <c r="AB400" s="27"/>
      <c r="AE400" s="106"/>
    </row>
    <row r="401" spans="1:31" ht="33">
      <c r="A401" s="79" t="s">
        <v>18</v>
      </c>
      <c r="B401" s="80" t="s">
        <v>632</v>
      </c>
      <c r="C401" s="105">
        <v>0.1</v>
      </c>
      <c r="D401" s="75">
        <v>610176.8400000001</v>
      </c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6">
        <v>488141.47</v>
      </c>
      <c r="S401" s="46">
        <v>122035.37</v>
      </c>
      <c r="T401" s="45"/>
      <c r="U401" s="45"/>
      <c r="V401" s="45"/>
      <c r="W401" s="45"/>
      <c r="X401" s="45"/>
      <c r="Y401" s="45"/>
      <c r="Z401" s="47"/>
      <c r="AA401" s="26"/>
      <c r="AB401" s="27"/>
      <c r="AE401" s="106"/>
    </row>
    <row r="402" spans="1:28" ht="33">
      <c r="A402" s="78" t="s">
        <v>20</v>
      </c>
      <c r="B402" s="53" t="s">
        <v>633</v>
      </c>
      <c r="C402" s="103">
        <v>0.12</v>
      </c>
      <c r="D402" s="74">
        <v>915265.26</v>
      </c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46">
        <v>640685.68</v>
      </c>
      <c r="S402" s="39"/>
      <c r="T402" s="39"/>
      <c r="U402" s="39"/>
      <c r="V402" s="39"/>
      <c r="W402" s="39"/>
      <c r="X402" s="39"/>
      <c r="Y402" s="39"/>
      <c r="Z402" s="40"/>
      <c r="AA402" s="26"/>
      <c r="AB402" s="27"/>
    </row>
    <row r="403" spans="1:28" ht="33">
      <c r="A403" s="78" t="s">
        <v>87</v>
      </c>
      <c r="B403" s="53" t="s">
        <v>634</v>
      </c>
      <c r="C403" s="103">
        <v>0.03</v>
      </c>
      <c r="D403" s="74">
        <v>228816.32</v>
      </c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46">
        <v>160171.42</v>
      </c>
      <c r="S403" s="39"/>
      <c r="T403" s="39"/>
      <c r="U403" s="39"/>
      <c r="V403" s="39"/>
      <c r="W403" s="39"/>
      <c r="X403" s="39"/>
      <c r="Y403" s="39"/>
      <c r="Z403" s="40"/>
      <c r="AA403" s="26"/>
      <c r="AB403" s="27"/>
    </row>
    <row r="404" spans="1:31" ht="16.5">
      <c r="A404" s="78" t="s">
        <v>89</v>
      </c>
      <c r="B404" s="53" t="s">
        <v>635</v>
      </c>
      <c r="C404" s="103">
        <v>0.05</v>
      </c>
      <c r="D404" s="74">
        <v>381360.52</v>
      </c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46">
        <v>266952.37</v>
      </c>
      <c r="S404" s="39"/>
      <c r="T404" s="39"/>
      <c r="U404" s="39"/>
      <c r="V404" s="39"/>
      <c r="W404" s="39"/>
      <c r="X404" s="39"/>
      <c r="Y404" s="39"/>
      <c r="Z404" s="40"/>
      <c r="AA404" s="26"/>
      <c r="AB404" s="27"/>
      <c r="AE404" s="106"/>
    </row>
    <row r="405" spans="1:256" ht="49.5">
      <c r="A405" s="35">
        <v>2</v>
      </c>
      <c r="B405" s="64" t="s">
        <v>636</v>
      </c>
      <c r="C405" s="103">
        <v>0.06</v>
      </c>
      <c r="D405" s="107">
        <v>502893</v>
      </c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6">
        <v>109620.08</v>
      </c>
      <c r="R405" s="46">
        <v>210200</v>
      </c>
      <c r="S405" s="46">
        <v>47691.04</v>
      </c>
      <c r="T405" s="39"/>
      <c r="U405" s="39"/>
      <c r="V405" s="39"/>
      <c r="W405" s="39"/>
      <c r="X405" s="39"/>
      <c r="Y405" s="39"/>
      <c r="Z405" s="40"/>
      <c r="AA405" s="26"/>
      <c r="AB405" s="27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  <c r="IV405" s="34"/>
    </row>
    <row r="406" spans="1:28" ht="16.5">
      <c r="A406" s="78" t="s">
        <v>62</v>
      </c>
      <c r="B406" s="53" t="s">
        <v>637</v>
      </c>
      <c r="C406" s="103">
        <v>0.44</v>
      </c>
      <c r="D406" s="74">
        <f>SUM(D407:D408)</f>
        <v>221272.91999999998</v>
      </c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46">
        <v>126700</v>
      </c>
      <c r="S406" s="46">
        <v>28191.04</v>
      </c>
      <c r="T406" s="39"/>
      <c r="U406" s="39"/>
      <c r="V406" s="39"/>
      <c r="W406" s="39"/>
      <c r="X406" s="39"/>
      <c r="Y406" s="39"/>
      <c r="Z406" s="40"/>
      <c r="AA406" s="26"/>
      <c r="AB406" s="27"/>
    </row>
    <row r="407" spans="1:28" ht="16.5">
      <c r="A407" s="79" t="s">
        <v>408</v>
      </c>
      <c r="B407" s="80" t="s">
        <v>638</v>
      </c>
      <c r="C407" s="105">
        <v>0.818</v>
      </c>
      <c r="D407" s="75">
        <v>181000</v>
      </c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6">
        <v>126700</v>
      </c>
      <c r="S407" s="45"/>
      <c r="T407" s="45"/>
      <c r="U407" s="45"/>
      <c r="V407" s="45"/>
      <c r="W407" s="45"/>
      <c r="X407" s="45"/>
      <c r="Y407" s="45"/>
      <c r="Z407" s="47"/>
      <c r="AA407" s="26"/>
      <c r="AB407" s="27"/>
    </row>
    <row r="408" spans="1:31" ht="33">
      <c r="A408" s="79" t="s">
        <v>410</v>
      </c>
      <c r="B408" s="80" t="s">
        <v>639</v>
      </c>
      <c r="C408" s="105">
        <v>0.182</v>
      </c>
      <c r="D408" s="75">
        <v>40272.92</v>
      </c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6">
        <v>28191.04</v>
      </c>
      <c r="T408" s="45"/>
      <c r="U408" s="45"/>
      <c r="V408" s="45"/>
      <c r="W408" s="45"/>
      <c r="X408" s="45"/>
      <c r="Y408" s="45"/>
      <c r="Z408" s="47"/>
      <c r="AA408" s="26"/>
      <c r="AB408" s="27"/>
      <c r="AE408" s="106"/>
    </row>
    <row r="409" spans="1:28" ht="33">
      <c r="A409" s="78" t="s">
        <v>64</v>
      </c>
      <c r="B409" s="53" t="s">
        <v>640</v>
      </c>
      <c r="C409" s="103">
        <v>0.35</v>
      </c>
      <c r="D409" s="74">
        <f>+D410+D411</f>
        <v>109620.08</v>
      </c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46">
        <v>109620.08</v>
      </c>
      <c r="R409" s="39"/>
      <c r="S409" s="39"/>
      <c r="T409" s="39"/>
      <c r="U409" s="39"/>
      <c r="V409" s="39"/>
      <c r="W409" s="39"/>
      <c r="X409" s="39"/>
      <c r="Y409" s="39"/>
      <c r="Z409" s="40"/>
      <c r="AA409" s="26"/>
      <c r="AB409" s="27"/>
    </row>
    <row r="410" spans="1:31" ht="16.5">
      <c r="A410" s="79" t="s">
        <v>132</v>
      </c>
      <c r="B410" s="80" t="s">
        <v>641</v>
      </c>
      <c r="C410" s="105">
        <v>0.038</v>
      </c>
      <c r="D410" s="75">
        <v>6620.08</v>
      </c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6">
        <v>6620.08</v>
      </c>
      <c r="R410" s="45"/>
      <c r="S410" s="45"/>
      <c r="T410" s="45"/>
      <c r="U410" s="45"/>
      <c r="V410" s="45"/>
      <c r="W410" s="45"/>
      <c r="X410" s="45"/>
      <c r="Y410" s="45"/>
      <c r="Z410" s="47"/>
      <c r="AA410" s="26"/>
      <c r="AB410" s="27"/>
      <c r="AE410" s="108"/>
    </row>
    <row r="411" spans="1:28" ht="16.5">
      <c r="A411" s="79" t="s">
        <v>134</v>
      </c>
      <c r="B411" s="80" t="s">
        <v>642</v>
      </c>
      <c r="C411" s="105">
        <v>0.3848</v>
      </c>
      <c r="D411" s="75">
        <f>SUM(D412:D414)</f>
        <v>103000</v>
      </c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6">
        <v>103000</v>
      </c>
      <c r="R411" s="45"/>
      <c r="S411" s="45"/>
      <c r="T411" s="45"/>
      <c r="U411" s="45"/>
      <c r="V411" s="45"/>
      <c r="W411" s="45"/>
      <c r="X411" s="45"/>
      <c r="Y411" s="45"/>
      <c r="Z411" s="47"/>
      <c r="AA411" s="26"/>
      <c r="AB411" s="27"/>
    </row>
    <row r="412" spans="1:28" ht="16.5">
      <c r="A412" s="79" t="s">
        <v>529</v>
      </c>
      <c r="B412" s="80" t="s">
        <v>643</v>
      </c>
      <c r="C412" s="105">
        <v>0.0896</v>
      </c>
      <c r="D412" s="75">
        <v>8000</v>
      </c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6">
        <v>8000</v>
      </c>
      <c r="R412" s="45"/>
      <c r="S412" s="45"/>
      <c r="T412" s="45"/>
      <c r="U412" s="45"/>
      <c r="V412" s="45"/>
      <c r="W412" s="45"/>
      <c r="X412" s="45"/>
      <c r="Y412" s="45"/>
      <c r="Z412" s="47"/>
      <c r="AA412" s="26"/>
      <c r="AB412" s="27"/>
    </row>
    <row r="413" spans="1:28" ht="16.5">
      <c r="A413" s="79" t="s">
        <v>530</v>
      </c>
      <c r="B413" s="80" t="s">
        <v>644</v>
      </c>
      <c r="C413" s="105">
        <v>0.3134</v>
      </c>
      <c r="D413" s="75">
        <v>35000</v>
      </c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6">
        <v>35000</v>
      </c>
      <c r="R413" s="45"/>
      <c r="S413" s="45"/>
      <c r="T413" s="45"/>
      <c r="U413" s="45"/>
      <c r="V413" s="45"/>
      <c r="W413" s="45"/>
      <c r="X413" s="45"/>
      <c r="Y413" s="45"/>
      <c r="Z413" s="47"/>
      <c r="AA413" s="26"/>
      <c r="AB413" s="27"/>
    </row>
    <row r="414" spans="1:31" ht="16.5">
      <c r="A414" s="79" t="s">
        <v>532</v>
      </c>
      <c r="B414" s="80" t="s">
        <v>645</v>
      </c>
      <c r="C414" s="105">
        <v>0.597</v>
      </c>
      <c r="D414" s="75">
        <v>60000</v>
      </c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6">
        <v>60000</v>
      </c>
      <c r="R414" s="45"/>
      <c r="S414" s="45"/>
      <c r="T414" s="45"/>
      <c r="U414" s="45"/>
      <c r="V414" s="45"/>
      <c r="W414" s="45"/>
      <c r="X414" s="45"/>
      <c r="Y414" s="45"/>
      <c r="Z414" s="47"/>
      <c r="AA414" s="26"/>
      <c r="AB414" s="27"/>
      <c r="AE414" s="106"/>
    </row>
    <row r="415" spans="1:28" ht="16.5">
      <c r="A415" s="78" t="s">
        <v>66</v>
      </c>
      <c r="B415" s="53" t="s">
        <v>646</v>
      </c>
      <c r="C415" s="103">
        <v>0.2</v>
      </c>
      <c r="D415" s="74">
        <f>+D416+D417+D418+D419+D420+D421</f>
        <v>165000</v>
      </c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46">
        <v>83500</v>
      </c>
      <c r="S415" s="46">
        <v>19500</v>
      </c>
      <c r="T415" s="39"/>
      <c r="U415" s="39"/>
      <c r="V415" s="39"/>
      <c r="W415" s="39"/>
      <c r="X415" s="39"/>
      <c r="Y415" s="39"/>
      <c r="Z415" s="40"/>
      <c r="AA415" s="26"/>
      <c r="AB415" s="27"/>
    </row>
    <row r="416" spans="1:28" ht="16.5">
      <c r="A416" s="79" t="s">
        <v>137</v>
      </c>
      <c r="B416" s="80" t="s">
        <v>647</v>
      </c>
      <c r="C416" s="105">
        <v>0.398</v>
      </c>
      <c r="D416" s="75">
        <v>65000</v>
      </c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6">
        <v>45500</v>
      </c>
      <c r="S416" s="46">
        <v>19500</v>
      </c>
      <c r="T416" s="45"/>
      <c r="U416" s="45"/>
      <c r="V416" s="45"/>
      <c r="W416" s="45"/>
      <c r="X416" s="45"/>
      <c r="Y416" s="45"/>
      <c r="Z416" s="47"/>
      <c r="AA416" s="26"/>
      <c r="AB416" s="27"/>
    </row>
    <row r="417" spans="1:28" ht="33">
      <c r="A417" s="79" t="s">
        <v>139</v>
      </c>
      <c r="B417" s="80" t="s">
        <v>648</v>
      </c>
      <c r="C417" s="105">
        <v>0.0398</v>
      </c>
      <c r="D417" s="75">
        <v>30000</v>
      </c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6">
        <v>30000</v>
      </c>
      <c r="S417" s="45"/>
      <c r="T417" s="45"/>
      <c r="U417" s="45"/>
      <c r="V417" s="45"/>
      <c r="W417" s="45"/>
      <c r="X417" s="45"/>
      <c r="Y417" s="45"/>
      <c r="Z417" s="47"/>
      <c r="AA417" s="26"/>
      <c r="AB417" s="27"/>
    </row>
    <row r="418" spans="1:28" ht="33">
      <c r="A418" s="79" t="s">
        <v>422</v>
      </c>
      <c r="B418" s="80" t="s">
        <v>649</v>
      </c>
      <c r="C418" s="105">
        <v>0.3483</v>
      </c>
      <c r="D418" s="75">
        <v>45000</v>
      </c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6">
        <v>45000</v>
      </c>
      <c r="U418" s="45"/>
      <c r="V418" s="45"/>
      <c r="W418" s="45"/>
      <c r="X418" s="45"/>
      <c r="Y418" s="45"/>
      <c r="Z418" s="47"/>
      <c r="AA418" s="26"/>
      <c r="AB418" s="27"/>
    </row>
    <row r="419" spans="1:28" ht="16.5">
      <c r="A419" s="79" t="s">
        <v>545</v>
      </c>
      <c r="B419" s="80" t="s">
        <v>650</v>
      </c>
      <c r="C419" s="105">
        <v>0.0448</v>
      </c>
      <c r="D419" s="75">
        <v>7500</v>
      </c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6">
        <v>7500</v>
      </c>
      <c r="U419" s="45"/>
      <c r="V419" s="45"/>
      <c r="W419" s="45"/>
      <c r="X419" s="45"/>
      <c r="Y419" s="45"/>
      <c r="Z419" s="47"/>
      <c r="AA419" s="26"/>
      <c r="AB419" s="27"/>
    </row>
    <row r="420" spans="1:28" ht="16.5">
      <c r="A420" s="79" t="s">
        <v>547</v>
      </c>
      <c r="B420" s="80" t="s">
        <v>651</v>
      </c>
      <c r="C420" s="105">
        <v>0.0498</v>
      </c>
      <c r="D420" s="75">
        <v>8000</v>
      </c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6">
        <v>8000</v>
      </c>
      <c r="S420" s="45"/>
      <c r="T420" s="46">
        <v>8000</v>
      </c>
      <c r="U420" s="45"/>
      <c r="V420" s="45"/>
      <c r="W420" s="45"/>
      <c r="X420" s="45"/>
      <c r="Y420" s="45"/>
      <c r="Z420" s="47"/>
      <c r="AA420" s="26"/>
      <c r="AB420" s="27"/>
    </row>
    <row r="421" spans="1:28" ht="33">
      <c r="A421" s="79" t="s">
        <v>549</v>
      </c>
      <c r="B421" s="80" t="s">
        <v>652</v>
      </c>
      <c r="C421" s="105">
        <v>0.0498</v>
      </c>
      <c r="D421" s="75">
        <v>9500</v>
      </c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6">
        <v>9500</v>
      </c>
      <c r="U421" s="45"/>
      <c r="V421" s="45"/>
      <c r="W421" s="45"/>
      <c r="X421" s="45"/>
      <c r="Y421" s="45"/>
      <c r="Z421" s="47"/>
      <c r="AA421" s="26"/>
      <c r="AB421" s="27"/>
    </row>
    <row r="422" spans="1:28" ht="16.5">
      <c r="A422" s="79" t="s">
        <v>68</v>
      </c>
      <c r="B422" s="80" t="s">
        <v>653</v>
      </c>
      <c r="C422" s="105">
        <v>0.01</v>
      </c>
      <c r="D422" s="75">
        <v>7000</v>
      </c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7"/>
      <c r="AA422" s="26"/>
      <c r="AB422" s="27"/>
    </row>
    <row r="423" spans="1:256" ht="33">
      <c r="A423" s="35">
        <v>3</v>
      </c>
      <c r="B423" s="64" t="s">
        <v>654</v>
      </c>
      <c r="C423" s="103">
        <v>0.03</v>
      </c>
      <c r="D423" s="60">
        <v>251446.5</v>
      </c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46">
        <v>22673.58</v>
      </c>
      <c r="R423" s="46">
        <v>20000</v>
      </c>
      <c r="S423" s="46">
        <v>88107.53</v>
      </c>
      <c r="T423" s="39"/>
      <c r="U423" s="39"/>
      <c r="V423" s="39"/>
      <c r="W423" s="39"/>
      <c r="X423" s="39"/>
      <c r="Y423" s="39"/>
      <c r="Z423" s="40"/>
      <c r="AA423" s="26"/>
      <c r="AB423" s="27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  <c r="IU423" s="34"/>
      <c r="IV423" s="34"/>
    </row>
    <row r="424" spans="1:28" ht="16.5">
      <c r="A424" s="78" t="s">
        <v>71</v>
      </c>
      <c r="B424" s="53" t="s">
        <v>655</v>
      </c>
      <c r="C424" s="103">
        <v>1</v>
      </c>
      <c r="D424" s="60">
        <v>251446.5</v>
      </c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46">
        <v>22673.58</v>
      </c>
      <c r="R424" s="39"/>
      <c r="S424" s="46">
        <v>88107.53</v>
      </c>
      <c r="T424" s="39"/>
      <c r="U424" s="39"/>
      <c r="V424" s="39"/>
      <c r="W424" s="39"/>
      <c r="X424" s="39"/>
      <c r="Y424" s="39"/>
      <c r="Z424" s="40"/>
      <c r="AA424" s="26"/>
      <c r="AB424" s="27"/>
    </row>
    <row r="425" spans="1:28" ht="33">
      <c r="A425" s="79" t="s">
        <v>656</v>
      </c>
      <c r="B425" s="80" t="s">
        <v>657</v>
      </c>
      <c r="C425" s="105">
        <v>0.4</v>
      </c>
      <c r="D425" s="109">
        <f>100578.6-25000</f>
        <v>75578.6</v>
      </c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6">
        <f>+D425*0.7</f>
        <v>52905.020000000004</v>
      </c>
      <c r="P425" s="45"/>
      <c r="Q425" s="46">
        <v>22673.58</v>
      </c>
      <c r="R425" s="45"/>
      <c r="S425" s="45"/>
      <c r="T425" s="45"/>
      <c r="U425" s="45"/>
      <c r="V425" s="45"/>
      <c r="W425" s="45"/>
      <c r="X425" s="45"/>
      <c r="Y425" s="45"/>
      <c r="Z425" s="47"/>
      <c r="AA425" s="26"/>
      <c r="AB425" s="27"/>
    </row>
    <row r="426" spans="1:28" ht="33">
      <c r="A426" s="79" t="s">
        <v>658</v>
      </c>
      <c r="B426" s="80" t="s">
        <v>659</v>
      </c>
      <c r="C426" s="105">
        <v>0.6</v>
      </c>
      <c r="D426" s="109">
        <f>150867.9-25000</f>
        <v>125867.9</v>
      </c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6">
        <v>88107.53</v>
      </c>
      <c r="T426" s="45"/>
      <c r="U426" s="45"/>
      <c r="V426" s="45"/>
      <c r="W426" s="45"/>
      <c r="X426" s="45"/>
      <c r="Y426" s="45"/>
      <c r="Z426" s="47"/>
      <c r="AA426" s="26"/>
      <c r="AB426" s="27"/>
    </row>
    <row r="427" spans="1:28" ht="33">
      <c r="A427" s="79" t="s">
        <v>73</v>
      </c>
      <c r="B427" s="80" t="s">
        <v>660</v>
      </c>
      <c r="C427" s="105">
        <f>+D427/D424</f>
        <v>0.19884945704155754</v>
      </c>
      <c r="D427" s="109">
        <v>50000</v>
      </c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6">
        <f>+D427*0.4</f>
        <v>20000</v>
      </c>
      <c r="Q427" s="45"/>
      <c r="R427" s="46">
        <v>20000</v>
      </c>
      <c r="S427" s="110"/>
      <c r="T427" s="45"/>
      <c r="U427" s="45"/>
      <c r="V427" s="45"/>
      <c r="W427" s="45"/>
      <c r="X427" s="45"/>
      <c r="Y427" s="45"/>
      <c r="Z427" s="111"/>
      <c r="AA427" s="26"/>
      <c r="AB427" s="27"/>
    </row>
    <row r="428" spans="1:28" ht="33">
      <c r="A428" s="54" t="s">
        <v>661</v>
      </c>
      <c r="B428" s="55" t="s">
        <v>662</v>
      </c>
      <c r="C428" s="104" t="s">
        <v>663</v>
      </c>
      <c r="D428" s="57">
        <v>1967500</v>
      </c>
      <c r="E428" s="58">
        <f>SUM(E429:E438)</f>
        <v>0</v>
      </c>
      <c r="F428" s="58">
        <f>SUM(F429:F438)</f>
        <v>0</v>
      </c>
      <c r="G428" s="58">
        <f>SUM(G429:G438)</f>
        <v>0</v>
      </c>
      <c r="H428" s="58">
        <f>SUM(H429:H438)</f>
        <v>0</v>
      </c>
      <c r="I428" s="58">
        <f>SUM(I429:I438)</f>
        <v>0</v>
      </c>
      <c r="J428" s="58">
        <f>SUM(J429:J438)</f>
        <v>0</v>
      </c>
      <c r="K428" s="58">
        <f>SUM(K429:K438)</f>
        <v>0</v>
      </c>
      <c r="L428" s="58">
        <f>SUM(L429:L438)</f>
        <v>0</v>
      </c>
      <c r="M428" s="58">
        <f>SUM(M429:M438)</f>
        <v>0</v>
      </c>
      <c r="N428" s="58">
        <f>SUM(N429:N438)</f>
        <v>0</v>
      </c>
      <c r="O428" s="58">
        <f>SUM(O429:O438)</f>
        <v>0</v>
      </c>
      <c r="P428" s="58">
        <f>SUM(P429:P438)</f>
        <v>0</v>
      </c>
      <c r="Q428" s="58">
        <f>Q429+Q432+Q435</f>
        <v>1421912.1</v>
      </c>
      <c r="R428" s="58"/>
      <c r="S428" s="58">
        <f>S438</f>
        <v>15740</v>
      </c>
      <c r="T428" s="58">
        <f>SUM(T429:T438)</f>
        <v>0</v>
      </c>
      <c r="U428" s="58">
        <f>SUM(U429:U438)</f>
        <v>0</v>
      </c>
      <c r="V428" s="58">
        <f>SUM(V429:V438)</f>
        <v>0</v>
      </c>
      <c r="W428" s="58">
        <f>SUM(W429:W438)</f>
        <v>0</v>
      </c>
      <c r="X428" s="58">
        <f>SUM(X429:X438)</f>
        <v>0</v>
      </c>
      <c r="Y428" s="58">
        <f>SUM(Y429:Y438)</f>
        <v>0</v>
      </c>
      <c r="Z428" s="58">
        <f>SUM(Z429:Z438)</f>
        <v>0</v>
      </c>
      <c r="AA428" s="26"/>
      <c r="AB428" s="27"/>
    </row>
    <row r="429" spans="1:28" ht="29.25" customHeight="1">
      <c r="A429" s="35">
        <v>1</v>
      </c>
      <c r="B429" s="112" t="s">
        <v>664</v>
      </c>
      <c r="C429" s="103">
        <v>0.1</v>
      </c>
      <c r="D429" s="60">
        <v>196750</v>
      </c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46">
        <v>143627.5</v>
      </c>
      <c r="R429" s="39"/>
      <c r="S429" s="39"/>
      <c r="T429" s="39"/>
      <c r="U429" s="39"/>
      <c r="V429" s="39"/>
      <c r="W429" s="39"/>
      <c r="X429" s="39"/>
      <c r="Y429" s="39"/>
      <c r="Z429" s="40"/>
      <c r="AA429" s="26"/>
      <c r="AB429" s="27"/>
    </row>
    <row r="430" spans="1:28" ht="27" customHeight="1">
      <c r="A430" s="78" t="s">
        <v>10</v>
      </c>
      <c r="B430" s="53" t="s">
        <v>665</v>
      </c>
      <c r="C430" s="103">
        <v>0.1</v>
      </c>
      <c r="D430" s="74">
        <v>19675</v>
      </c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Q430" s="46">
        <v>19675</v>
      </c>
      <c r="R430" s="39"/>
      <c r="S430" s="39"/>
      <c r="T430" s="39"/>
      <c r="U430" s="39"/>
      <c r="V430" s="39"/>
      <c r="W430" s="39"/>
      <c r="X430" s="39"/>
      <c r="Y430" s="39"/>
      <c r="Z430" s="40"/>
      <c r="AA430" s="26"/>
      <c r="AB430" s="27"/>
    </row>
    <row r="431" spans="1:28" ht="27" customHeight="1">
      <c r="A431" s="78" t="s">
        <v>20</v>
      </c>
      <c r="B431" s="53" t="s">
        <v>666</v>
      </c>
      <c r="C431" s="103">
        <v>0.9</v>
      </c>
      <c r="D431" s="74">
        <v>177075</v>
      </c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46">
        <v>123952.5</v>
      </c>
      <c r="R431" s="39"/>
      <c r="S431" s="39"/>
      <c r="T431" s="39"/>
      <c r="U431" s="39"/>
      <c r="V431" s="39"/>
      <c r="W431" s="39"/>
      <c r="X431" s="39"/>
      <c r="Y431" s="39"/>
      <c r="Z431" s="40"/>
      <c r="AA431" s="26"/>
      <c r="AB431" s="27"/>
    </row>
    <row r="432" spans="1:256" ht="33">
      <c r="A432" s="35">
        <v>2</v>
      </c>
      <c r="B432" s="112" t="s">
        <v>667</v>
      </c>
      <c r="C432" s="103">
        <v>0.15</v>
      </c>
      <c r="D432" s="60">
        <v>295125</v>
      </c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46">
        <v>215441.1</v>
      </c>
      <c r="R432" s="113"/>
      <c r="S432" s="39"/>
      <c r="T432" s="39"/>
      <c r="U432" s="39"/>
      <c r="V432" s="39"/>
      <c r="W432" s="39"/>
      <c r="X432" s="39"/>
      <c r="Y432" s="39"/>
      <c r="Z432" s="40"/>
      <c r="AA432" s="26"/>
      <c r="AB432" s="27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  <c r="IU432" s="34"/>
      <c r="IV432" s="34"/>
    </row>
    <row r="433" spans="1:28" ht="16.5">
      <c r="A433" s="78" t="s">
        <v>62</v>
      </c>
      <c r="B433" s="53" t="s">
        <v>665</v>
      </c>
      <c r="C433" s="103">
        <v>0.1</v>
      </c>
      <c r="D433" s="74">
        <v>29512</v>
      </c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46">
        <v>29512</v>
      </c>
      <c r="R433" s="113"/>
      <c r="S433" s="39"/>
      <c r="T433" s="39"/>
      <c r="U433" s="39"/>
      <c r="V433" s="39"/>
      <c r="W433" s="39"/>
      <c r="X433" s="39"/>
      <c r="Y433" s="39"/>
      <c r="Z433" s="40"/>
      <c r="AA433" s="26"/>
      <c r="AB433" s="27"/>
    </row>
    <row r="434" spans="1:28" ht="16.5">
      <c r="A434" s="78" t="s">
        <v>64</v>
      </c>
      <c r="B434" s="53" t="s">
        <v>666</v>
      </c>
      <c r="C434" s="103">
        <v>0.9</v>
      </c>
      <c r="D434" s="74">
        <v>265613</v>
      </c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46">
        <v>185929.1</v>
      </c>
      <c r="R434" s="113"/>
      <c r="S434" s="39"/>
      <c r="T434" s="39"/>
      <c r="U434" s="39"/>
      <c r="V434" s="39"/>
      <c r="W434" s="39"/>
      <c r="X434" s="39"/>
      <c r="Y434" s="39"/>
      <c r="Z434" s="40"/>
      <c r="AA434" s="26"/>
      <c r="AB434" s="27"/>
    </row>
    <row r="435" spans="1:256" ht="33">
      <c r="A435" s="35">
        <v>3</v>
      </c>
      <c r="B435" s="112" t="s">
        <v>668</v>
      </c>
      <c r="C435" s="103">
        <v>0.74</v>
      </c>
      <c r="D435" s="60">
        <v>1455950</v>
      </c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46">
        <v>1062843.5</v>
      </c>
      <c r="R435" s="39"/>
      <c r="S435" s="39"/>
      <c r="T435" s="39"/>
      <c r="U435" s="39"/>
      <c r="V435" s="39"/>
      <c r="W435" s="39"/>
      <c r="X435" s="39"/>
      <c r="Y435" s="39"/>
      <c r="Z435" s="40"/>
      <c r="AA435" s="26"/>
      <c r="AB435" s="27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  <c r="IU435" s="34"/>
      <c r="IV435" s="34"/>
    </row>
    <row r="436" spans="1:28" ht="16.5">
      <c r="A436" s="35" t="s">
        <v>71</v>
      </c>
      <c r="B436" s="53" t="s">
        <v>669</v>
      </c>
      <c r="C436" s="103">
        <v>0.1</v>
      </c>
      <c r="D436" s="74">
        <v>145595</v>
      </c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46">
        <v>145595</v>
      </c>
      <c r="R436" s="39"/>
      <c r="S436" s="39"/>
      <c r="T436" s="39"/>
      <c r="U436" s="39"/>
      <c r="V436" s="39"/>
      <c r="W436" s="39"/>
      <c r="X436" s="39"/>
      <c r="Y436" s="39"/>
      <c r="Z436" s="40"/>
      <c r="AA436" s="26"/>
      <c r="AB436" s="27"/>
    </row>
    <row r="437" spans="1:28" ht="33">
      <c r="A437" s="35" t="s">
        <v>73</v>
      </c>
      <c r="B437" s="53" t="s">
        <v>670</v>
      </c>
      <c r="C437" s="103">
        <v>0.9</v>
      </c>
      <c r="D437" s="74">
        <v>1310355</v>
      </c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46">
        <v>917248.5</v>
      </c>
      <c r="R437" s="39"/>
      <c r="S437" s="39"/>
      <c r="T437" s="39"/>
      <c r="U437" s="39"/>
      <c r="V437" s="39"/>
      <c r="W437" s="39"/>
      <c r="X437" s="39"/>
      <c r="Y437" s="39"/>
      <c r="Z437" s="40"/>
      <c r="AA437" s="26"/>
      <c r="AB437" s="27"/>
    </row>
    <row r="438" spans="1:256" ht="33">
      <c r="A438" s="35">
        <v>4</v>
      </c>
      <c r="B438" s="112" t="s">
        <v>671</v>
      </c>
      <c r="C438" s="103">
        <v>0.01</v>
      </c>
      <c r="D438" s="60">
        <v>19675</v>
      </c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46">
        <v>15740</v>
      </c>
      <c r="T438" s="39"/>
      <c r="U438" s="39"/>
      <c r="V438" s="39"/>
      <c r="W438" s="39"/>
      <c r="X438" s="39"/>
      <c r="Y438" s="39"/>
      <c r="Z438" s="40"/>
      <c r="AA438" s="26"/>
      <c r="AB438" s="27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  <c r="IU438" s="34"/>
      <c r="IV438" s="34"/>
    </row>
    <row r="439" spans="1:28" ht="33">
      <c r="A439" s="54" t="s">
        <v>672</v>
      </c>
      <c r="B439" s="114" t="s">
        <v>673</v>
      </c>
      <c r="C439" s="102" t="s">
        <v>674</v>
      </c>
      <c r="D439" s="57">
        <v>157400</v>
      </c>
      <c r="E439" s="58">
        <f>SUM(E440:E441)</f>
        <v>0</v>
      </c>
      <c r="F439" s="58">
        <f>SUM(F440:F441)</f>
        <v>0</v>
      </c>
      <c r="G439" s="58">
        <f>SUM(G440:G441)</f>
        <v>0</v>
      </c>
      <c r="H439" s="58">
        <f>SUM(H440:H441)</f>
        <v>0</v>
      </c>
      <c r="I439" s="58">
        <f>SUM(I440:I441)</f>
        <v>0</v>
      </c>
      <c r="J439" s="58">
        <f>SUM(J440:J441)</f>
        <v>0</v>
      </c>
      <c r="K439" s="58">
        <f>SUM(K440:K441)</f>
        <v>0</v>
      </c>
      <c r="L439" s="58">
        <f>SUM(L440:L441)</f>
        <v>0</v>
      </c>
      <c r="M439" s="58">
        <f>SUM(M440:M441)</f>
        <v>0</v>
      </c>
      <c r="N439" s="58">
        <f>SUM(N440:N441)</f>
        <v>0</v>
      </c>
      <c r="O439" s="58">
        <f>SUM(O440:O441)</f>
        <v>0</v>
      </c>
      <c r="P439" s="58">
        <f>SUM(P440:P441)</f>
        <v>0</v>
      </c>
      <c r="Q439" s="58">
        <f>SUM(Q440:Q441)</f>
        <v>0</v>
      </c>
      <c r="R439" s="58">
        <f>SUM(R440:R441)</f>
        <v>0</v>
      </c>
      <c r="S439" s="58">
        <f>S440</f>
        <v>55090</v>
      </c>
      <c r="T439" s="58">
        <f>SUM(T440:T441)</f>
        <v>0</v>
      </c>
      <c r="U439" s="58">
        <f>SUM(U440:U441)</f>
        <v>157400</v>
      </c>
      <c r="V439" s="58">
        <f>SUM(V440:V441)</f>
        <v>0</v>
      </c>
      <c r="W439" s="58">
        <f>SUM(W440:W441)</f>
        <v>0</v>
      </c>
      <c r="X439" s="58">
        <f>SUM(X440:X441)</f>
        <v>0</v>
      </c>
      <c r="Y439" s="58">
        <f>SUM(Y440:Y441)</f>
        <v>0</v>
      </c>
      <c r="Z439" s="58">
        <f>SUM(Z440:Z441)</f>
        <v>0</v>
      </c>
      <c r="AA439" s="26"/>
      <c r="AB439" s="27"/>
    </row>
    <row r="440" spans="1:256" ht="33">
      <c r="A440" s="35">
        <v>1</v>
      </c>
      <c r="B440" s="112" t="s">
        <v>675</v>
      </c>
      <c r="C440" s="61">
        <v>0.35</v>
      </c>
      <c r="D440" s="60">
        <v>55090</v>
      </c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46">
        <v>55090</v>
      </c>
      <c r="T440" s="39"/>
      <c r="U440" s="39">
        <v>55090</v>
      </c>
      <c r="V440" s="39"/>
      <c r="W440" s="39"/>
      <c r="X440" s="39"/>
      <c r="Y440" s="39"/>
      <c r="Z440" s="40"/>
      <c r="AA440" s="26"/>
      <c r="AB440" s="27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  <c r="IU440" s="34"/>
      <c r="IV440" s="34"/>
    </row>
    <row r="441" spans="1:256" ht="33">
      <c r="A441" s="35">
        <v>2</v>
      </c>
      <c r="B441" s="112" t="s">
        <v>676</v>
      </c>
      <c r="C441" s="61">
        <v>0.65</v>
      </c>
      <c r="D441" s="60">
        <v>102310</v>
      </c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>
        <v>102310</v>
      </c>
      <c r="V441" s="39"/>
      <c r="W441" s="39"/>
      <c r="X441" s="39"/>
      <c r="Y441" s="39"/>
      <c r="Z441" s="40"/>
      <c r="AA441" s="26"/>
      <c r="AB441" s="27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  <c r="IU441" s="34"/>
      <c r="IV441" s="34"/>
    </row>
    <row r="442" spans="1:28" ht="33">
      <c r="A442" s="54" t="s">
        <v>677</v>
      </c>
      <c r="B442" s="114" t="s">
        <v>678</v>
      </c>
      <c r="C442" s="102" t="s">
        <v>679</v>
      </c>
      <c r="D442" s="57">
        <v>1731400.0000000002</v>
      </c>
      <c r="E442" s="58">
        <f>SUM(E443:E460)</f>
        <v>0</v>
      </c>
      <c r="F442" s="58">
        <f>SUM(F443:F460)</f>
        <v>0</v>
      </c>
      <c r="G442" s="58">
        <f>SUM(G443:G460)</f>
        <v>0</v>
      </c>
      <c r="H442" s="58">
        <f>SUM(H443:H460)</f>
        <v>0</v>
      </c>
      <c r="I442" s="58">
        <f>SUM(I443:I460)</f>
        <v>0</v>
      </c>
      <c r="J442" s="58">
        <f>SUM(J443:J460)</f>
        <v>0</v>
      </c>
      <c r="K442" s="58">
        <f>SUM(K443:K460)</f>
        <v>168292.08</v>
      </c>
      <c r="L442" s="58">
        <f>SUM(L443:L460)</f>
        <v>0</v>
      </c>
      <c r="M442" s="58">
        <f>SUM(M443:M460)</f>
        <v>0</v>
      </c>
      <c r="N442" s="58">
        <f>SUM(N443:N460)</f>
        <v>0</v>
      </c>
      <c r="O442" s="58">
        <f>SUM(O443:O460)</f>
        <v>0</v>
      </c>
      <c r="P442" s="58">
        <f>SUM(P443:P460)</f>
        <v>82415.2</v>
      </c>
      <c r="Q442" s="58">
        <f>Q443+Q453</f>
        <v>433080.27999999997</v>
      </c>
      <c r="R442" s="58">
        <f>R443+R449+R452</f>
        <v>68095.76</v>
      </c>
      <c r="S442" s="58">
        <f>S443+S449+S452+S453</f>
        <v>423440.08</v>
      </c>
      <c r="T442" s="58">
        <f>SUM(T443:T460)</f>
        <v>70312.39</v>
      </c>
      <c r="U442" s="58">
        <f>SUM(U443:U460)</f>
        <v>381946.84</v>
      </c>
      <c r="V442" s="58">
        <f>SUM(V443:V460)</f>
        <v>0</v>
      </c>
      <c r="W442" s="58">
        <f>SUM(W443:W460)</f>
        <v>0</v>
      </c>
      <c r="X442" s="58">
        <f>SUM(X443:X460)</f>
        <v>0</v>
      </c>
      <c r="Y442" s="58">
        <f>SUM(Y443:Y460)</f>
        <v>0</v>
      </c>
      <c r="Z442" s="58">
        <f>SUM(Z443:Z460)</f>
        <v>0</v>
      </c>
      <c r="AA442" s="26"/>
      <c r="AB442" s="27"/>
    </row>
    <row r="443" spans="1:256" ht="16.5">
      <c r="A443" s="35">
        <v>1</v>
      </c>
      <c r="B443" s="36" t="s">
        <v>680</v>
      </c>
      <c r="C443" s="103">
        <v>0.1</v>
      </c>
      <c r="D443" s="60">
        <v>173140.00000000003</v>
      </c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46">
        <v>96496.12</v>
      </c>
      <c r="R443" s="46">
        <v>36931.36</v>
      </c>
      <c r="S443" s="46">
        <f>S448</f>
        <v>5999.3</v>
      </c>
      <c r="T443" s="39"/>
      <c r="U443" s="39"/>
      <c r="V443" s="39"/>
      <c r="W443" s="39"/>
      <c r="X443" s="39"/>
      <c r="Y443" s="39"/>
      <c r="Z443" s="40"/>
      <c r="AA443" s="26"/>
      <c r="AB443" s="27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  <c r="IU443" s="34"/>
      <c r="IV443" s="34"/>
    </row>
    <row r="444" spans="1:28" ht="16.5">
      <c r="A444" s="78" t="s">
        <v>10</v>
      </c>
      <c r="B444" s="53" t="s">
        <v>681</v>
      </c>
      <c r="C444" s="103">
        <v>0.05</v>
      </c>
      <c r="D444" s="60">
        <v>7999.07</v>
      </c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46">
        <v>7999.07</v>
      </c>
      <c r="S444" s="39"/>
      <c r="T444" s="39"/>
      <c r="U444" s="39"/>
      <c r="V444" s="39"/>
      <c r="W444" s="39"/>
      <c r="X444" s="39"/>
      <c r="Y444" s="39"/>
      <c r="Z444" s="40"/>
      <c r="AA444" s="26"/>
      <c r="AB444" s="27"/>
    </row>
    <row r="445" spans="1:28" ht="16.5">
      <c r="A445" s="78" t="s">
        <v>20</v>
      </c>
      <c r="B445" s="53" t="s">
        <v>682</v>
      </c>
      <c r="C445" s="103">
        <v>0.1</v>
      </c>
      <c r="D445" s="60">
        <v>17971.93</v>
      </c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46">
        <v>17971.93</v>
      </c>
      <c r="R445" s="39"/>
      <c r="S445" s="39"/>
      <c r="T445" s="39"/>
      <c r="U445" s="39"/>
      <c r="V445" s="39"/>
      <c r="W445" s="39"/>
      <c r="X445" s="39"/>
      <c r="Y445" s="39"/>
      <c r="Z445" s="40"/>
      <c r="AA445" s="26"/>
      <c r="AB445" s="27"/>
    </row>
    <row r="446" spans="1:28" ht="16.5">
      <c r="A446" s="78" t="s">
        <v>87</v>
      </c>
      <c r="B446" s="53" t="s">
        <v>683</v>
      </c>
      <c r="C446" s="103">
        <v>0.09</v>
      </c>
      <c r="D446" s="60">
        <v>14993.92</v>
      </c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46">
        <v>14933.92</v>
      </c>
      <c r="S446" s="39"/>
      <c r="T446" s="46">
        <v>14993.92</v>
      </c>
      <c r="U446" s="39"/>
      <c r="V446" s="39"/>
      <c r="W446" s="39"/>
      <c r="X446" s="39"/>
      <c r="Y446" s="39"/>
      <c r="Z446" s="40"/>
      <c r="AA446" s="26"/>
      <c r="AB446" s="27"/>
    </row>
    <row r="447" spans="1:28" ht="16.5">
      <c r="A447" s="78" t="s">
        <v>89</v>
      </c>
      <c r="B447" s="53" t="s">
        <v>684</v>
      </c>
      <c r="C447" s="103">
        <v>0.65</v>
      </c>
      <c r="D447" s="60">
        <v>112177.41</v>
      </c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46">
        <v>78524.19</v>
      </c>
      <c r="R447" s="39"/>
      <c r="S447" s="39"/>
      <c r="T447" s="39"/>
      <c r="U447" s="39"/>
      <c r="V447" s="39"/>
      <c r="W447" s="39"/>
      <c r="X447" s="39"/>
      <c r="Y447" s="39"/>
      <c r="Z447" s="40"/>
      <c r="AA447" s="26"/>
      <c r="AB447" s="27"/>
    </row>
    <row r="448" spans="1:28" ht="33">
      <c r="A448" s="78" t="s">
        <v>91</v>
      </c>
      <c r="B448" s="53" t="s">
        <v>685</v>
      </c>
      <c r="C448" s="103">
        <v>0.12</v>
      </c>
      <c r="D448" s="60">
        <v>19997.67</v>
      </c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46">
        <v>13998.37</v>
      </c>
      <c r="S448" s="46">
        <v>5999.3</v>
      </c>
      <c r="T448" s="46">
        <v>19997.67</v>
      </c>
      <c r="U448" s="39"/>
      <c r="V448" s="39"/>
      <c r="W448" s="39"/>
      <c r="X448" s="39"/>
      <c r="Y448" s="39"/>
      <c r="Z448" s="40"/>
      <c r="AA448" s="26"/>
      <c r="AB448" s="27"/>
    </row>
    <row r="449" spans="1:256" ht="33">
      <c r="A449" s="35">
        <v>2</v>
      </c>
      <c r="B449" s="36" t="s">
        <v>686</v>
      </c>
      <c r="C449" s="103">
        <v>0.08</v>
      </c>
      <c r="D449" s="60">
        <v>138512.00000000003</v>
      </c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46">
        <v>20776</v>
      </c>
      <c r="S449" s="46">
        <f>S451</f>
        <v>35320.8</v>
      </c>
      <c r="T449" s="39"/>
      <c r="U449" s="39"/>
      <c r="V449" s="39"/>
      <c r="W449" s="39"/>
      <c r="X449" s="39"/>
      <c r="Y449" s="39"/>
      <c r="Z449" s="40"/>
      <c r="AA449" s="26"/>
      <c r="AB449" s="27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  <c r="IV449" s="34"/>
    </row>
    <row r="450" spans="1:28" ht="16.5">
      <c r="A450" s="78" t="s">
        <v>62</v>
      </c>
      <c r="B450" s="53" t="s">
        <v>665</v>
      </c>
      <c r="C450" s="103">
        <v>0.15</v>
      </c>
      <c r="D450" s="60">
        <v>20776</v>
      </c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46">
        <v>20776</v>
      </c>
      <c r="S450" s="39"/>
      <c r="T450" s="39"/>
      <c r="U450" s="39"/>
      <c r="V450" s="39"/>
      <c r="W450" s="39"/>
      <c r="X450" s="39"/>
      <c r="Y450" s="39"/>
      <c r="Z450" s="40"/>
      <c r="AA450" s="26"/>
      <c r="AB450" s="27"/>
    </row>
    <row r="451" spans="1:28" ht="16.5">
      <c r="A451" s="78" t="s">
        <v>64</v>
      </c>
      <c r="B451" s="53" t="s">
        <v>666</v>
      </c>
      <c r="C451" s="103">
        <v>0.85</v>
      </c>
      <c r="D451" s="60">
        <v>117736</v>
      </c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46">
        <v>82415.2</v>
      </c>
      <c r="Q451" s="39"/>
      <c r="R451" s="39"/>
      <c r="S451" s="46">
        <v>35320.8</v>
      </c>
      <c r="T451" s="46">
        <v>35320.8</v>
      </c>
      <c r="U451" s="39"/>
      <c r="V451" s="39"/>
      <c r="W451" s="39"/>
      <c r="X451" s="39"/>
      <c r="Y451" s="39"/>
      <c r="Z451" s="40"/>
      <c r="AA451" s="26"/>
      <c r="AB451" s="27"/>
    </row>
    <row r="452" spans="1:256" ht="49.5">
      <c r="A452" s="35">
        <v>3</v>
      </c>
      <c r="B452" s="36" t="s">
        <v>687</v>
      </c>
      <c r="C452" s="103">
        <v>0.01</v>
      </c>
      <c r="D452" s="60">
        <v>17314.000000000004</v>
      </c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46">
        <v>10388.4</v>
      </c>
      <c r="S452" s="46">
        <v>3462.8</v>
      </c>
      <c r="T452" s="39" t="s">
        <v>688</v>
      </c>
      <c r="U452" s="46">
        <v>17314.000000000004</v>
      </c>
      <c r="V452" s="39"/>
      <c r="W452" s="39"/>
      <c r="X452" s="39"/>
      <c r="Y452" s="39"/>
      <c r="Z452" s="40"/>
      <c r="AA452" s="26"/>
      <c r="AB452" s="27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  <c r="IV452" s="34"/>
    </row>
    <row r="453" spans="1:256" ht="33">
      <c r="A453" s="35">
        <v>4</v>
      </c>
      <c r="B453" s="36" t="s">
        <v>689</v>
      </c>
      <c r="C453" s="103">
        <v>0.81</v>
      </c>
      <c r="D453" s="60">
        <v>1402434.0000000002</v>
      </c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46">
        <v>336584.16</v>
      </c>
      <c r="R453" s="39"/>
      <c r="S453" s="46">
        <v>378657.18</v>
      </c>
      <c r="T453" s="39"/>
      <c r="U453" s="39"/>
      <c r="V453" s="39"/>
      <c r="W453" s="39"/>
      <c r="X453" s="39"/>
      <c r="Y453" s="39"/>
      <c r="Z453" s="40"/>
      <c r="AA453" s="26"/>
      <c r="AB453" s="27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  <c r="IV453" s="34"/>
    </row>
    <row r="454" spans="1:28" ht="16.5">
      <c r="A454" s="78" t="s">
        <v>269</v>
      </c>
      <c r="B454" s="53" t="s">
        <v>690</v>
      </c>
      <c r="C454" s="103">
        <v>0.18</v>
      </c>
      <c r="D454" s="60">
        <v>252438.12</v>
      </c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46">
        <v>126219.06</v>
      </c>
      <c r="T454" s="39"/>
      <c r="U454" s="52"/>
      <c r="V454" s="39"/>
      <c r="W454" s="39"/>
      <c r="X454" s="39"/>
      <c r="Y454" s="39"/>
      <c r="Z454" s="40"/>
      <c r="AA454" s="26"/>
      <c r="AB454" s="27"/>
    </row>
    <row r="455" spans="1:28" ht="16.5">
      <c r="A455" s="78" t="s">
        <v>271</v>
      </c>
      <c r="B455" s="53" t="s">
        <v>691</v>
      </c>
      <c r="C455" s="103">
        <v>0.09</v>
      </c>
      <c r="D455" s="60">
        <v>126219.06</v>
      </c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46">
        <v>252438.12</v>
      </c>
      <c r="T455" s="39"/>
      <c r="U455" s="52"/>
      <c r="V455" s="39"/>
      <c r="W455" s="39"/>
      <c r="X455" s="39"/>
      <c r="Y455" s="39"/>
      <c r="Z455" s="40"/>
      <c r="AA455" s="26"/>
      <c r="AB455" s="27"/>
    </row>
    <row r="456" spans="1:28" ht="16.5">
      <c r="A456" s="78" t="s">
        <v>429</v>
      </c>
      <c r="B456" s="53" t="s">
        <v>692</v>
      </c>
      <c r="C456" s="103">
        <v>0.03</v>
      </c>
      <c r="D456" s="60">
        <v>42073.02</v>
      </c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115">
        <v>42073.02</v>
      </c>
      <c r="V456" s="39"/>
      <c r="W456" s="39"/>
      <c r="X456" s="39"/>
      <c r="Y456" s="39"/>
      <c r="Z456" s="40"/>
      <c r="AA456" s="26"/>
      <c r="AB456" s="27"/>
    </row>
    <row r="457" spans="1:28" ht="16.5">
      <c r="A457" s="78" t="s">
        <v>431</v>
      </c>
      <c r="B457" s="53" t="s">
        <v>693</v>
      </c>
      <c r="C457" s="103">
        <v>0.24</v>
      </c>
      <c r="D457" s="60">
        <v>336584.16</v>
      </c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115">
        <v>336584.16</v>
      </c>
      <c r="R457" s="39"/>
      <c r="S457" s="39"/>
      <c r="T457" s="39"/>
      <c r="U457" s="39"/>
      <c r="V457" s="39"/>
      <c r="W457" s="39"/>
      <c r="X457" s="39"/>
      <c r="Y457" s="39"/>
      <c r="Z457" s="40"/>
      <c r="AA457" s="26"/>
      <c r="AB457" s="27"/>
    </row>
    <row r="458" spans="1:28" ht="16.5">
      <c r="A458" s="78" t="s">
        <v>433</v>
      </c>
      <c r="B458" s="53" t="s">
        <v>694</v>
      </c>
      <c r="C458" s="103">
        <v>0.23</v>
      </c>
      <c r="D458" s="60">
        <v>322559.82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115">
        <v>322559.82</v>
      </c>
      <c r="V458" s="39"/>
      <c r="W458" s="39"/>
      <c r="X458" s="39"/>
      <c r="Y458" s="39"/>
      <c r="Z458" s="40"/>
      <c r="AA458" s="26"/>
      <c r="AB458" s="27"/>
    </row>
    <row r="459" spans="1:28" ht="16.5">
      <c r="A459" s="78" t="s">
        <v>695</v>
      </c>
      <c r="B459" s="53" t="s">
        <v>696</v>
      </c>
      <c r="C459" s="103">
        <v>0.12</v>
      </c>
      <c r="D459" s="60">
        <v>168292.08</v>
      </c>
      <c r="E459" s="39"/>
      <c r="F459" s="39"/>
      <c r="G459" s="39"/>
      <c r="H459" s="39"/>
      <c r="I459" s="39"/>
      <c r="J459" s="39"/>
      <c r="K459" s="46">
        <f>D459</f>
        <v>168292.08</v>
      </c>
      <c r="L459" s="39"/>
      <c r="M459" s="39"/>
      <c r="N459" s="39"/>
      <c r="O459" s="39"/>
      <c r="P459" s="39"/>
      <c r="Q459" s="39"/>
      <c r="R459" s="39"/>
      <c r="S459" s="39"/>
      <c r="T459" s="39"/>
      <c r="U459" s="116"/>
      <c r="V459" s="39"/>
      <c r="W459" s="39"/>
      <c r="X459" s="39"/>
      <c r="Y459" s="39"/>
      <c r="Z459" s="40"/>
      <c r="AA459" s="26"/>
      <c r="AB459" s="27"/>
    </row>
    <row r="460" spans="1:28" ht="16.5">
      <c r="A460" s="78" t="s">
        <v>697</v>
      </c>
      <c r="B460" s="53" t="s">
        <v>698</v>
      </c>
      <c r="C460" s="103">
        <v>0.11</v>
      </c>
      <c r="D460" s="60">
        <v>154267.74</v>
      </c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116"/>
      <c r="T460" s="39"/>
      <c r="U460" s="52"/>
      <c r="V460" s="39"/>
      <c r="W460" s="39"/>
      <c r="X460" s="39"/>
      <c r="Y460" s="39"/>
      <c r="Z460" s="40"/>
      <c r="AA460" s="26"/>
      <c r="AB460" s="27"/>
    </row>
    <row r="461" spans="1:28" ht="49.5">
      <c r="A461" s="54" t="s">
        <v>699</v>
      </c>
      <c r="B461" s="114" t="s">
        <v>700</v>
      </c>
      <c r="C461" s="102" t="s">
        <v>701</v>
      </c>
      <c r="D461" s="57">
        <v>118050</v>
      </c>
      <c r="E461" s="58">
        <f>SUM(E462:E466)</f>
        <v>0</v>
      </c>
      <c r="F461" s="58">
        <f>SUM(F462:F466)</f>
        <v>0</v>
      </c>
      <c r="G461" s="58">
        <f>SUM(G462:G466)</f>
        <v>0</v>
      </c>
      <c r="H461" s="58">
        <f>SUM(H462:H466)</f>
        <v>0</v>
      </c>
      <c r="I461" s="58">
        <f>SUM(I462:I466)</f>
        <v>0</v>
      </c>
      <c r="J461" s="58">
        <f>SUM(J462:J466)</f>
        <v>0</v>
      </c>
      <c r="K461" s="58">
        <f>SUM(K462:K466)</f>
        <v>0</v>
      </c>
      <c r="L461" s="58">
        <f>SUM(L462:L466)</f>
        <v>0</v>
      </c>
      <c r="M461" s="58">
        <f>SUM(M462:M466)</f>
        <v>0</v>
      </c>
      <c r="N461" s="58">
        <f>SUM(N462:N466)</f>
        <v>0</v>
      </c>
      <c r="O461" s="58">
        <f>SUM(O462:O466)</f>
        <v>0</v>
      </c>
      <c r="P461" s="58">
        <f>SUM(P462:P466)</f>
        <v>0</v>
      </c>
      <c r="Q461" s="58">
        <f>SUM(Q462:Q466)</f>
        <v>0</v>
      </c>
      <c r="R461" s="58">
        <f>SUM(R462:R466)</f>
        <v>0</v>
      </c>
      <c r="S461" s="58">
        <f>SUM(S462:S466)</f>
        <v>0</v>
      </c>
      <c r="T461" s="58">
        <f>SUM(T462:T466)</f>
        <v>0</v>
      </c>
      <c r="U461" s="58">
        <v>118050</v>
      </c>
      <c r="V461" s="58"/>
      <c r="W461" s="58">
        <f>SUM(W462:W466)</f>
        <v>0</v>
      </c>
      <c r="X461" s="58">
        <f>SUM(X462:X466)</f>
        <v>0</v>
      </c>
      <c r="Y461" s="58">
        <f>SUM(Y462:Y466)</f>
        <v>0</v>
      </c>
      <c r="Z461" s="117">
        <f>SUM(Z462:Z466)</f>
        <v>0</v>
      </c>
      <c r="AA461" s="26"/>
      <c r="AB461" s="27"/>
    </row>
    <row r="462" spans="1:256" ht="16.5">
      <c r="A462" s="35">
        <v>1</v>
      </c>
      <c r="B462" s="36" t="s">
        <v>702</v>
      </c>
      <c r="C462" s="103">
        <v>0.57</v>
      </c>
      <c r="D462" s="60">
        <v>67288.5</v>
      </c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>
        <v>67288.5</v>
      </c>
      <c r="V462" s="52"/>
      <c r="W462" s="39"/>
      <c r="X462" s="39"/>
      <c r="Y462" s="39"/>
      <c r="Z462" s="40"/>
      <c r="AA462" s="26"/>
      <c r="AB462" s="27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  <c r="IV462" s="34"/>
    </row>
    <row r="463" spans="1:256" ht="16.5">
      <c r="A463" s="35">
        <v>2</v>
      </c>
      <c r="B463" s="36" t="s">
        <v>703</v>
      </c>
      <c r="C463" s="103">
        <v>0.21</v>
      </c>
      <c r="D463" s="60">
        <v>24790.5</v>
      </c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>
        <v>24790.5</v>
      </c>
      <c r="V463" s="52"/>
      <c r="W463" s="39"/>
      <c r="X463" s="39"/>
      <c r="Y463" s="39"/>
      <c r="Z463" s="40"/>
      <c r="AA463" s="26"/>
      <c r="AB463" s="27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  <c r="IV463" s="34"/>
    </row>
    <row r="464" spans="1:256" ht="16.5">
      <c r="A464" s="35">
        <v>3</v>
      </c>
      <c r="B464" s="36" t="s">
        <v>704</v>
      </c>
      <c r="C464" s="103">
        <v>0.13</v>
      </c>
      <c r="D464" s="60">
        <v>15346.5</v>
      </c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>
        <v>15346.5</v>
      </c>
      <c r="V464" s="52"/>
      <c r="W464" s="39"/>
      <c r="X464" s="39"/>
      <c r="Y464" s="39"/>
      <c r="Z464" s="40"/>
      <c r="AA464" s="26"/>
      <c r="AB464" s="27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  <c r="IV464" s="34"/>
    </row>
    <row r="465" spans="1:256" ht="16.5">
      <c r="A465" s="35">
        <v>4</v>
      </c>
      <c r="B465" s="36" t="s">
        <v>705</v>
      </c>
      <c r="C465" s="103">
        <v>0.05</v>
      </c>
      <c r="D465" s="60">
        <v>5902.5</v>
      </c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>
        <v>5902.5</v>
      </c>
      <c r="V465" s="52"/>
      <c r="W465" s="39"/>
      <c r="X465" s="39"/>
      <c r="Y465" s="39"/>
      <c r="Z465" s="40"/>
      <c r="AA465" s="26"/>
      <c r="AB465" s="27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  <c r="IV465" s="34"/>
    </row>
    <row r="466" spans="1:256" ht="16.5">
      <c r="A466" s="35">
        <v>5</v>
      </c>
      <c r="B466" s="36" t="s">
        <v>706</v>
      </c>
      <c r="C466" s="103">
        <v>0.04</v>
      </c>
      <c r="D466" s="60">
        <v>4722</v>
      </c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>
        <v>4722</v>
      </c>
      <c r="V466" s="52"/>
      <c r="W466" s="39"/>
      <c r="X466" s="39"/>
      <c r="Y466" s="39"/>
      <c r="Z466" s="40"/>
      <c r="AA466" s="26"/>
      <c r="AB466" s="27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  <c r="IV466" s="34"/>
    </row>
    <row r="467" spans="1:28" ht="49.5">
      <c r="A467" s="54" t="s">
        <v>707</v>
      </c>
      <c r="B467" s="55" t="s">
        <v>708</v>
      </c>
      <c r="C467" s="84" t="s">
        <v>709</v>
      </c>
      <c r="D467" s="57">
        <v>1219850</v>
      </c>
      <c r="E467" s="58">
        <f>SUM(E468:E489)</f>
        <v>0</v>
      </c>
      <c r="F467" s="58">
        <f>SUM(F468:F489)</f>
        <v>0</v>
      </c>
      <c r="G467" s="58">
        <f>SUM(G468:G489)</f>
        <v>0</v>
      </c>
      <c r="H467" s="58">
        <f>SUM(H468:H489)</f>
        <v>0</v>
      </c>
      <c r="I467" s="58">
        <f>SUM(I468:I489)</f>
        <v>0</v>
      </c>
      <c r="J467" s="58">
        <f>SUM(J468:J489)</f>
        <v>0</v>
      </c>
      <c r="K467" s="58">
        <f>SUM(K468:K489)</f>
        <v>0</v>
      </c>
      <c r="L467" s="58">
        <f>SUM(L468:L489)</f>
        <v>0</v>
      </c>
      <c r="M467" s="58">
        <f>SUM(M468:M489)</f>
        <v>0</v>
      </c>
      <c r="N467" s="58">
        <f>SUM(N468:N489)</f>
        <v>0</v>
      </c>
      <c r="O467" s="58">
        <f>SUM(O468:O489)</f>
        <v>0</v>
      </c>
      <c r="P467" s="58">
        <f>SUM(P468:P489)</f>
        <v>0</v>
      </c>
      <c r="Q467" s="58">
        <v>120252.2</v>
      </c>
      <c r="R467" s="58">
        <f>R468</f>
        <v>323260</v>
      </c>
      <c r="S467" s="58">
        <f>S468+S478+S489</f>
        <v>383728.67000000004</v>
      </c>
      <c r="T467" s="58">
        <f>SUM(T468:T489)</f>
        <v>212888.264</v>
      </c>
      <c r="U467" s="58">
        <f>SUM(U468:U489)</f>
        <v>282395.3115</v>
      </c>
      <c r="V467" s="58">
        <f>SUM(V468:V489)</f>
        <v>0</v>
      </c>
      <c r="W467" s="58">
        <f>SUM(W468:W489)</f>
        <v>0</v>
      </c>
      <c r="X467" s="58">
        <f>SUM(X468:X489)</f>
        <v>0</v>
      </c>
      <c r="Y467" s="58">
        <f>SUM(Y468:Y489)</f>
        <v>0</v>
      </c>
      <c r="Z467" s="117">
        <f>SUM(Z468:Z489)</f>
        <v>0</v>
      </c>
      <c r="AA467" s="26"/>
      <c r="AB467" s="27"/>
    </row>
    <row r="468" spans="1:256" ht="16.5">
      <c r="A468" s="35">
        <v>1</v>
      </c>
      <c r="B468" s="36" t="s">
        <v>710</v>
      </c>
      <c r="C468" s="61">
        <v>0.53</v>
      </c>
      <c r="D468" s="60">
        <v>646520.5</v>
      </c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46">
        <v>120252.2</v>
      </c>
      <c r="R468" s="39">
        <f>R476</f>
        <v>323260</v>
      </c>
      <c r="S468" s="46">
        <v>126071.95</v>
      </c>
      <c r="T468" s="39"/>
      <c r="U468" s="39"/>
      <c r="V468" s="39"/>
      <c r="W468" s="39"/>
      <c r="X468" s="39"/>
      <c r="Y468" s="39"/>
      <c r="Z468" s="40"/>
      <c r="AA468" s="26"/>
      <c r="AB468" s="27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  <c r="IV468" s="34"/>
    </row>
    <row r="469" spans="1:28" ht="33">
      <c r="A469" s="78" t="s">
        <v>10</v>
      </c>
      <c r="B469" s="53" t="s">
        <v>711</v>
      </c>
      <c r="C469" s="61">
        <v>0.01</v>
      </c>
      <c r="D469" s="60">
        <v>6465</v>
      </c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46">
        <f>D469</f>
        <v>6465</v>
      </c>
      <c r="R469" s="39"/>
      <c r="S469" s="39"/>
      <c r="T469" s="39"/>
      <c r="U469" s="39"/>
      <c r="V469" s="39"/>
      <c r="W469" s="39"/>
      <c r="X469" s="39"/>
      <c r="Y469" s="39"/>
      <c r="Z469" s="40"/>
      <c r="AA469" s="26"/>
      <c r="AB469" s="27"/>
    </row>
    <row r="470" spans="1:28" ht="16.5">
      <c r="A470" s="78" t="s">
        <v>20</v>
      </c>
      <c r="B470" s="53" t="s">
        <v>712</v>
      </c>
      <c r="C470" s="61">
        <v>0.04</v>
      </c>
      <c r="D470" s="60">
        <v>25860</v>
      </c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46">
        <v>20668</v>
      </c>
      <c r="T470" s="46">
        <f aca="true" t="shared" si="8" ref="T470:T477">D470*0.2</f>
        <v>5172</v>
      </c>
      <c r="U470" s="46">
        <f aca="true" t="shared" si="9" ref="U470:U477">D470*0.2</f>
        <v>5172</v>
      </c>
      <c r="V470" s="39"/>
      <c r="W470" s="39"/>
      <c r="X470" s="39"/>
      <c r="Y470" s="39"/>
      <c r="Z470" s="40"/>
      <c r="AA470" s="26"/>
      <c r="AB470" s="27"/>
    </row>
    <row r="471" spans="1:28" ht="16.5">
      <c r="A471" s="78" t="s">
        <v>87</v>
      </c>
      <c r="B471" s="53" t="s">
        <v>713</v>
      </c>
      <c r="C471" s="61">
        <v>0.06</v>
      </c>
      <c r="D471" s="60">
        <v>38791</v>
      </c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46">
        <v>31032.8</v>
      </c>
      <c r="T471" s="46">
        <f t="shared" si="8"/>
        <v>7758.200000000001</v>
      </c>
      <c r="U471" s="46">
        <f t="shared" si="9"/>
        <v>7758.200000000001</v>
      </c>
      <c r="V471" s="39"/>
      <c r="W471" s="39"/>
      <c r="X471" s="39"/>
      <c r="Y471" s="39"/>
      <c r="Z471" s="40"/>
      <c r="AA471" s="26"/>
      <c r="AB471" s="27"/>
    </row>
    <row r="472" spans="1:28" ht="16.5">
      <c r="A472" s="78" t="s">
        <v>89</v>
      </c>
      <c r="B472" s="53" t="s">
        <v>714</v>
      </c>
      <c r="C472" s="61">
        <v>0.1</v>
      </c>
      <c r="D472" s="60">
        <v>64652</v>
      </c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46">
        <v>38791.2</v>
      </c>
      <c r="T472" s="46">
        <f t="shared" si="8"/>
        <v>12930.400000000001</v>
      </c>
      <c r="U472" s="46">
        <f t="shared" si="9"/>
        <v>12930.400000000001</v>
      </c>
      <c r="V472" s="39"/>
      <c r="W472" s="39"/>
      <c r="X472" s="39"/>
      <c r="Y472" s="39"/>
      <c r="Z472" s="40"/>
      <c r="AA472" s="26"/>
      <c r="AB472" s="27"/>
    </row>
    <row r="473" spans="1:28" ht="16.5">
      <c r="A473" s="78" t="s">
        <v>91</v>
      </c>
      <c r="B473" s="53" t="s">
        <v>715</v>
      </c>
      <c r="C473" s="61">
        <v>0.04</v>
      </c>
      <c r="D473" s="60">
        <v>25860</v>
      </c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46">
        <v>20688</v>
      </c>
      <c r="T473" s="46">
        <f t="shared" si="8"/>
        <v>5172</v>
      </c>
      <c r="U473" s="46">
        <f t="shared" si="9"/>
        <v>5172</v>
      </c>
      <c r="V473" s="39"/>
      <c r="W473" s="39"/>
      <c r="X473" s="39"/>
      <c r="Y473" s="39"/>
      <c r="Z473" s="40"/>
      <c r="AA473" s="26"/>
      <c r="AB473" s="27"/>
    </row>
    <row r="474" spans="1:28" ht="33">
      <c r="A474" s="78" t="s">
        <v>93</v>
      </c>
      <c r="B474" s="53" t="s">
        <v>716</v>
      </c>
      <c r="C474" s="61">
        <v>0.22</v>
      </c>
      <c r="D474" s="60">
        <v>142234</v>
      </c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46">
        <v>113787.2</v>
      </c>
      <c r="R474" s="39"/>
      <c r="S474" s="39"/>
      <c r="T474" s="46">
        <f t="shared" si="8"/>
        <v>28446.800000000003</v>
      </c>
      <c r="U474" s="46">
        <f t="shared" si="9"/>
        <v>28446.800000000003</v>
      </c>
      <c r="V474" s="39"/>
      <c r="W474" s="39"/>
      <c r="X474" s="39"/>
      <c r="Y474" s="39"/>
      <c r="Z474" s="40"/>
      <c r="AA474" s="26"/>
      <c r="AB474" s="27"/>
    </row>
    <row r="475" spans="1:28" ht="16.5">
      <c r="A475" s="78" t="s">
        <v>95</v>
      </c>
      <c r="B475" s="53" t="s">
        <v>717</v>
      </c>
      <c r="C475" s="61">
        <v>0.02</v>
      </c>
      <c r="D475" s="60">
        <v>12930</v>
      </c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46">
        <v>10344</v>
      </c>
      <c r="T475" s="46">
        <f t="shared" si="8"/>
        <v>2586</v>
      </c>
      <c r="U475" s="46">
        <f t="shared" si="9"/>
        <v>2586</v>
      </c>
      <c r="V475" s="39"/>
      <c r="W475" s="39"/>
      <c r="X475" s="39"/>
      <c r="Y475" s="39"/>
      <c r="Z475" s="40"/>
      <c r="AA475" s="26"/>
      <c r="AB475" s="27"/>
    </row>
    <row r="476" spans="1:28" ht="33">
      <c r="A476" s="78" t="s">
        <v>97</v>
      </c>
      <c r="B476" s="53" t="s">
        <v>718</v>
      </c>
      <c r="C476" s="61">
        <v>0.5</v>
      </c>
      <c r="D476" s="60">
        <v>323260</v>
      </c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46">
        <v>323260</v>
      </c>
      <c r="S476" s="46">
        <f>D476*0.2</f>
        <v>64652</v>
      </c>
      <c r="T476" s="46">
        <f t="shared" si="8"/>
        <v>64652</v>
      </c>
      <c r="U476" s="46">
        <f t="shared" si="9"/>
        <v>64652</v>
      </c>
      <c r="V476" s="39"/>
      <c r="W476" s="39"/>
      <c r="X476" s="39"/>
      <c r="Y476" s="39"/>
      <c r="Z476" s="40"/>
      <c r="AA476" s="26"/>
      <c r="AB476" s="27"/>
    </row>
    <row r="477" spans="1:28" ht="33">
      <c r="A477" s="78" t="s">
        <v>99</v>
      </c>
      <c r="B477" s="53" t="s">
        <v>719</v>
      </c>
      <c r="C477" s="61">
        <v>0.01</v>
      </c>
      <c r="D477" s="60">
        <v>6468.5</v>
      </c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46">
        <v>4527.95</v>
      </c>
      <c r="T477" s="46">
        <f t="shared" si="8"/>
        <v>1293.7</v>
      </c>
      <c r="U477" s="46">
        <f t="shared" si="9"/>
        <v>1293.7</v>
      </c>
      <c r="V477" s="39"/>
      <c r="W477" s="39"/>
      <c r="X477" s="39"/>
      <c r="Y477" s="39"/>
      <c r="Z477" s="40"/>
      <c r="AA477" s="26"/>
      <c r="AB477" s="27"/>
    </row>
    <row r="478" spans="1:256" ht="16.5">
      <c r="A478" s="35">
        <v>2</v>
      </c>
      <c r="B478" s="64" t="s">
        <v>720</v>
      </c>
      <c r="C478" s="61">
        <v>0.37</v>
      </c>
      <c r="D478" s="60">
        <v>451344.5</v>
      </c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46">
        <v>228380.32</v>
      </c>
      <c r="T478" s="39"/>
      <c r="U478" s="39"/>
      <c r="V478" s="39"/>
      <c r="W478" s="39"/>
      <c r="X478" s="39"/>
      <c r="Y478" s="39"/>
      <c r="Z478" s="40"/>
      <c r="AA478" s="26"/>
      <c r="AB478" s="27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  <c r="IV478" s="34"/>
    </row>
    <row r="479" spans="1:28" ht="16.5">
      <c r="A479" s="78" t="s">
        <v>62</v>
      </c>
      <c r="B479" s="53" t="s">
        <v>721</v>
      </c>
      <c r="C479" s="61">
        <v>0.55</v>
      </c>
      <c r="D479" s="60">
        <v>248239.48</v>
      </c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46">
        <v>104260.58</v>
      </c>
      <c r="T479" s="39"/>
      <c r="U479" s="39"/>
      <c r="V479" s="39"/>
      <c r="W479" s="39"/>
      <c r="X479" s="39"/>
      <c r="Y479" s="39"/>
      <c r="Z479" s="40"/>
      <c r="AA479" s="26"/>
      <c r="AB479" s="27"/>
    </row>
    <row r="480" spans="1:28" ht="33">
      <c r="A480" s="79" t="s">
        <v>408</v>
      </c>
      <c r="B480" s="80" t="s">
        <v>722</v>
      </c>
      <c r="C480" s="68">
        <v>0.6</v>
      </c>
      <c r="D480" s="75">
        <v>148943.68</v>
      </c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6">
        <v>104260.58</v>
      </c>
      <c r="T480" s="45"/>
      <c r="U480" s="46">
        <v>44683.1</v>
      </c>
      <c r="V480" s="45"/>
      <c r="W480" s="45"/>
      <c r="X480" s="45"/>
      <c r="Y480" s="45"/>
      <c r="Z480" s="47"/>
      <c r="AA480" s="26"/>
      <c r="AB480" s="27"/>
    </row>
    <row r="481" spans="1:28" ht="49.5">
      <c r="A481" s="79" t="s">
        <v>410</v>
      </c>
      <c r="B481" s="80" t="s">
        <v>723</v>
      </c>
      <c r="C481" s="68">
        <v>0.2</v>
      </c>
      <c r="D481" s="75">
        <v>49647.895000000004</v>
      </c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6">
        <f>D481*0.3</f>
        <v>14894.3685</v>
      </c>
      <c r="V481" s="45"/>
      <c r="W481" s="45"/>
      <c r="X481" s="45"/>
      <c r="Y481" s="45"/>
      <c r="Z481" s="47"/>
      <c r="AA481" s="26"/>
      <c r="AB481" s="27"/>
    </row>
    <row r="482" spans="1:28" ht="16.5">
      <c r="A482" s="79" t="s">
        <v>513</v>
      </c>
      <c r="B482" s="80" t="s">
        <v>724</v>
      </c>
      <c r="C482" s="68">
        <v>0.02</v>
      </c>
      <c r="D482" s="75">
        <v>49647.895000000004</v>
      </c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76"/>
      <c r="T482" s="46">
        <f>D482*0.4</f>
        <v>19859.158000000003</v>
      </c>
      <c r="U482" s="46">
        <f>D482*0.6</f>
        <v>29788.737</v>
      </c>
      <c r="V482" s="45"/>
      <c r="W482" s="45"/>
      <c r="X482" s="45"/>
      <c r="Y482" s="45"/>
      <c r="Z482" s="47"/>
      <c r="AA482" s="26"/>
      <c r="AB482" s="27"/>
    </row>
    <row r="483" spans="1:28" ht="115.5">
      <c r="A483" s="79" t="s">
        <v>515</v>
      </c>
      <c r="B483" s="80" t="s">
        <v>725</v>
      </c>
      <c r="C483" s="68">
        <v>0.4</v>
      </c>
      <c r="D483" s="109">
        <v>180537.8</v>
      </c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6">
        <v>108322.68</v>
      </c>
      <c r="T483" s="46">
        <f aca="true" t="shared" si="10" ref="T483:T489">D483*0.2</f>
        <v>36107.56</v>
      </c>
      <c r="U483" s="46">
        <f aca="true" t="shared" si="11" ref="U483:U489">D483*0.2</f>
        <v>36107.56</v>
      </c>
      <c r="V483" s="45"/>
      <c r="W483" s="45"/>
      <c r="X483" s="45"/>
      <c r="Y483" s="45"/>
      <c r="Z483" s="47"/>
      <c r="AA483" s="26"/>
      <c r="AB483" s="27"/>
    </row>
    <row r="484" spans="1:28" ht="33">
      <c r="A484" s="79" t="s">
        <v>517</v>
      </c>
      <c r="B484" s="80" t="s">
        <v>726</v>
      </c>
      <c r="C484" s="68">
        <v>0.05</v>
      </c>
      <c r="D484" s="109">
        <v>22567.23</v>
      </c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6">
        <v>15797.06</v>
      </c>
      <c r="T484" s="46">
        <f t="shared" si="10"/>
        <v>4513.446</v>
      </c>
      <c r="U484" s="46">
        <f t="shared" si="11"/>
        <v>4513.446</v>
      </c>
      <c r="V484" s="45"/>
      <c r="W484" s="45"/>
      <c r="X484" s="45"/>
      <c r="Y484" s="45"/>
      <c r="Z484" s="47"/>
      <c r="AA484" s="26"/>
      <c r="AB484" s="27"/>
    </row>
    <row r="485" spans="1:256" ht="16.5">
      <c r="A485" s="35">
        <v>3</v>
      </c>
      <c r="B485" s="36" t="s">
        <v>727</v>
      </c>
      <c r="C485" s="61">
        <v>0.02</v>
      </c>
      <c r="D485" s="60">
        <v>24397</v>
      </c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46">
        <f t="shared" si="10"/>
        <v>4879.400000000001</v>
      </c>
      <c r="U485" s="46">
        <f t="shared" si="11"/>
        <v>4879.400000000001</v>
      </c>
      <c r="V485" s="39"/>
      <c r="W485" s="39"/>
      <c r="X485" s="39"/>
      <c r="Y485" s="39"/>
      <c r="Z485" s="40"/>
      <c r="AA485" s="26"/>
      <c r="AB485" s="27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  <c r="IU485" s="34"/>
      <c r="IV485" s="34"/>
    </row>
    <row r="486" spans="1:256" ht="16.5">
      <c r="A486" s="35">
        <v>4</v>
      </c>
      <c r="B486" s="36" t="s">
        <v>728</v>
      </c>
      <c r="C486" s="61">
        <v>0.02</v>
      </c>
      <c r="D486" s="60">
        <v>24397</v>
      </c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46">
        <f t="shared" si="10"/>
        <v>4879.400000000001</v>
      </c>
      <c r="U486" s="46">
        <f t="shared" si="11"/>
        <v>4879.400000000001</v>
      </c>
      <c r="V486" s="39"/>
      <c r="W486" s="39"/>
      <c r="X486" s="39"/>
      <c r="Y486" s="39"/>
      <c r="Z486" s="40"/>
      <c r="AA486" s="26"/>
      <c r="AB486" s="27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  <c r="IV486" s="34"/>
    </row>
    <row r="487" spans="1:256" ht="33">
      <c r="A487" s="35">
        <v>5</v>
      </c>
      <c r="B487" s="36" t="s">
        <v>729</v>
      </c>
      <c r="C487" s="61">
        <v>0.01</v>
      </c>
      <c r="D487" s="60">
        <v>12198.5</v>
      </c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46">
        <f t="shared" si="10"/>
        <v>2439.7000000000003</v>
      </c>
      <c r="U487" s="46">
        <f t="shared" si="11"/>
        <v>2439.7000000000003</v>
      </c>
      <c r="V487" s="39"/>
      <c r="W487" s="39"/>
      <c r="X487" s="39"/>
      <c r="Y487" s="39"/>
      <c r="Z487" s="40"/>
      <c r="AA487" s="26"/>
      <c r="AB487" s="27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  <c r="IU487" s="34"/>
      <c r="IV487" s="34"/>
    </row>
    <row r="488" spans="1:256" ht="16.5">
      <c r="A488" s="35">
        <v>6</v>
      </c>
      <c r="B488" s="36" t="s">
        <v>730</v>
      </c>
      <c r="C488" s="61">
        <v>0.01</v>
      </c>
      <c r="D488" s="60">
        <v>12198.5</v>
      </c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46">
        <f t="shared" si="10"/>
        <v>2439.7000000000003</v>
      </c>
      <c r="U488" s="46">
        <f t="shared" si="11"/>
        <v>2439.7000000000003</v>
      </c>
      <c r="V488" s="39"/>
      <c r="W488" s="39"/>
      <c r="X488" s="39"/>
      <c r="Y488" s="39"/>
      <c r="Z488" s="40"/>
      <c r="AA488" s="26"/>
      <c r="AB488" s="27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  <c r="IU488" s="34"/>
      <c r="IV488" s="34"/>
    </row>
    <row r="489" spans="1:256" ht="49.5">
      <c r="A489" s="35">
        <v>7</v>
      </c>
      <c r="B489" s="36" t="s">
        <v>731</v>
      </c>
      <c r="C489" s="61">
        <v>0.04</v>
      </c>
      <c r="D489" s="60">
        <v>48794</v>
      </c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46">
        <v>29276.4</v>
      </c>
      <c r="T489" s="46">
        <f t="shared" si="10"/>
        <v>9758.800000000001</v>
      </c>
      <c r="U489" s="46">
        <f t="shared" si="11"/>
        <v>9758.800000000001</v>
      </c>
      <c r="V489" s="39"/>
      <c r="W489" s="39"/>
      <c r="X489" s="39"/>
      <c r="Y489" s="39"/>
      <c r="Z489" s="40"/>
      <c r="AA489" s="26"/>
      <c r="AB489" s="27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  <c r="IU489" s="34"/>
      <c r="IV489" s="34"/>
    </row>
    <row r="490" spans="1:28" ht="82.5">
      <c r="A490" s="54" t="s">
        <v>732</v>
      </c>
      <c r="B490" s="114" t="s">
        <v>733</v>
      </c>
      <c r="C490" s="102" t="s">
        <v>734</v>
      </c>
      <c r="D490" s="57">
        <v>236100</v>
      </c>
      <c r="E490" s="58">
        <f>SUM(E491:E497)</f>
        <v>0</v>
      </c>
      <c r="F490" s="58">
        <f>SUM(F491:F497)</f>
        <v>0</v>
      </c>
      <c r="G490" s="58">
        <f>SUM(G491:G497)</f>
        <v>0</v>
      </c>
      <c r="H490" s="58">
        <f>SUM(H491:H497)</f>
        <v>0</v>
      </c>
      <c r="I490" s="58">
        <f>SUM(I491:I497)</f>
        <v>0</v>
      </c>
      <c r="J490" s="58">
        <f>SUM(J491:J497)</f>
        <v>0</v>
      </c>
      <c r="K490" s="58">
        <f>SUM(K491:K497)</f>
        <v>0</v>
      </c>
      <c r="L490" s="58">
        <f>SUM(L491:L497)</f>
        <v>0</v>
      </c>
      <c r="M490" s="58">
        <f>SUM(M491:M497)</f>
        <v>0</v>
      </c>
      <c r="N490" s="58">
        <f>SUM(N491:N497)</f>
        <v>0</v>
      </c>
      <c r="O490" s="58">
        <f>SUM(O491:O497)</f>
        <v>0</v>
      </c>
      <c r="P490" s="58">
        <f>SUM(P491:P497)</f>
        <v>0</v>
      </c>
      <c r="Q490" s="58">
        <f>SUM(Q491:Q497)</f>
        <v>0</v>
      </c>
      <c r="R490" s="58">
        <f>SUM(R491:R497)</f>
        <v>0</v>
      </c>
      <c r="S490" s="58">
        <f>S496</f>
        <v>39664.8</v>
      </c>
      <c r="T490" s="58">
        <f>SUM(T491:T499)</f>
        <v>82635</v>
      </c>
      <c r="U490" s="58">
        <f>SUM(U491:U499)</f>
        <v>101523</v>
      </c>
      <c r="V490" s="58">
        <f>SUM(V491:V499)</f>
        <v>42498</v>
      </c>
      <c r="W490" s="58">
        <f>SUM(W491:W499)</f>
        <v>0</v>
      </c>
      <c r="X490" s="58">
        <f>SUM(X491:X499)</f>
        <v>0</v>
      </c>
      <c r="Y490" s="58">
        <f>SUM(Y491:Y499)</f>
        <v>0</v>
      </c>
      <c r="Z490" s="58">
        <f>SUM(Z491:Z499)</f>
        <v>0</v>
      </c>
      <c r="AA490" s="26"/>
      <c r="AB490" s="27"/>
    </row>
    <row r="491" spans="1:256" ht="16.5">
      <c r="A491" s="35">
        <v>1</v>
      </c>
      <c r="B491" s="112" t="s">
        <v>735</v>
      </c>
      <c r="C491" s="103">
        <v>0.04</v>
      </c>
      <c r="D491" s="60">
        <v>9444</v>
      </c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52"/>
      <c r="U491" s="39"/>
      <c r="V491" s="39"/>
      <c r="W491" s="39"/>
      <c r="X491" s="39"/>
      <c r="Y491" s="39"/>
      <c r="Z491" s="40"/>
      <c r="AA491" s="26"/>
      <c r="AB491" s="27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  <c r="IU491" s="34"/>
      <c r="IV491" s="34"/>
    </row>
    <row r="492" spans="1:256" ht="33">
      <c r="A492" s="35">
        <v>2</v>
      </c>
      <c r="B492" s="112" t="s">
        <v>736</v>
      </c>
      <c r="C492" s="103">
        <v>0.35</v>
      </c>
      <c r="D492" s="60">
        <v>82635</v>
      </c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52"/>
      <c r="T492" s="46">
        <v>82635</v>
      </c>
      <c r="U492" s="39"/>
      <c r="V492" s="39"/>
      <c r="W492" s="39"/>
      <c r="X492" s="39"/>
      <c r="Y492" s="39"/>
      <c r="Z492" s="40"/>
      <c r="AA492" s="26"/>
      <c r="AB492" s="27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  <c r="IU492" s="34"/>
      <c r="IV492" s="34"/>
    </row>
    <row r="493" spans="1:256" ht="33">
      <c r="A493" s="35">
        <v>3</v>
      </c>
      <c r="B493" s="112" t="s">
        <v>737</v>
      </c>
      <c r="C493" s="103">
        <v>0.02</v>
      </c>
      <c r="D493" s="60">
        <v>4722</v>
      </c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46">
        <v>4722</v>
      </c>
      <c r="W493" s="39"/>
      <c r="X493" s="39"/>
      <c r="Y493" s="39"/>
      <c r="Z493" s="40"/>
      <c r="AA493" s="26"/>
      <c r="AB493" s="27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  <c r="IU493" s="34"/>
      <c r="IV493" s="34"/>
    </row>
    <row r="494" spans="1:256" ht="16.5">
      <c r="A494" s="35">
        <v>4</v>
      </c>
      <c r="B494" s="112" t="s">
        <v>738</v>
      </c>
      <c r="C494" s="103">
        <v>0.08</v>
      </c>
      <c r="D494" s="60">
        <v>18888</v>
      </c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46">
        <v>18888</v>
      </c>
      <c r="W494" s="39"/>
      <c r="X494" s="39"/>
      <c r="Y494" s="39"/>
      <c r="Z494" s="40"/>
      <c r="AA494" s="26"/>
      <c r="AB494" s="27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  <c r="IU494" s="34"/>
      <c r="IV494" s="34"/>
    </row>
    <row r="495" spans="1:256" ht="33">
      <c r="A495" s="35">
        <v>5</v>
      </c>
      <c r="B495" s="118" t="s">
        <v>739</v>
      </c>
      <c r="C495" s="103">
        <v>0.07</v>
      </c>
      <c r="D495" s="60">
        <v>16527</v>
      </c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46">
        <v>16527</v>
      </c>
      <c r="W495" s="39"/>
      <c r="X495" s="39"/>
      <c r="Y495" s="39"/>
      <c r="Z495" s="40"/>
      <c r="AA495" s="26"/>
      <c r="AB495" s="27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  <c r="IU495" s="34"/>
      <c r="IV495" s="34"/>
    </row>
    <row r="496" spans="1:256" ht="16.5">
      <c r="A496" s="35">
        <v>6</v>
      </c>
      <c r="B496" s="112" t="s">
        <v>740</v>
      </c>
      <c r="C496" s="103">
        <v>0.42</v>
      </c>
      <c r="D496" s="60">
        <v>99162</v>
      </c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46">
        <v>39664.8</v>
      </c>
      <c r="T496" s="39"/>
      <c r="U496" s="46">
        <v>99162</v>
      </c>
      <c r="V496" s="39"/>
      <c r="W496" s="39"/>
      <c r="X496" s="39"/>
      <c r="Y496" s="39"/>
      <c r="Z496" s="40"/>
      <c r="AA496" s="26"/>
      <c r="AB496" s="27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  <c r="IU496" s="34"/>
      <c r="IV496" s="34"/>
    </row>
    <row r="497" spans="1:256" ht="16.5">
      <c r="A497" s="35">
        <v>7</v>
      </c>
      <c r="B497" s="112" t="s">
        <v>741</v>
      </c>
      <c r="C497" s="103">
        <v>0.02</v>
      </c>
      <c r="D497" s="60">
        <v>4722</v>
      </c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40"/>
      <c r="AA497" s="26"/>
      <c r="AB497" s="27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  <c r="IU497" s="34"/>
      <c r="IV497" s="34"/>
    </row>
    <row r="498" spans="1:256" ht="16.5">
      <c r="A498" s="35" t="s">
        <v>566</v>
      </c>
      <c r="B498" s="112" t="s">
        <v>742</v>
      </c>
      <c r="C498" s="103">
        <f>+D498/D497</f>
        <v>0.5</v>
      </c>
      <c r="D498" s="60">
        <f>+D497*0.5</f>
        <v>2361</v>
      </c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46">
        <v>2361</v>
      </c>
      <c r="V498" s="39"/>
      <c r="W498" s="39"/>
      <c r="X498" s="39"/>
      <c r="Y498" s="39"/>
      <c r="Z498" s="40"/>
      <c r="AA498" s="26"/>
      <c r="AB498" s="27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  <c r="IU498" s="34"/>
      <c r="IV498" s="34"/>
    </row>
    <row r="499" spans="1:256" ht="16.5">
      <c r="A499" s="35" t="s">
        <v>576</v>
      </c>
      <c r="B499" s="112" t="s">
        <v>743</v>
      </c>
      <c r="C499" s="103">
        <f>+D499/D497</f>
        <v>0.5</v>
      </c>
      <c r="D499" s="60">
        <v>2361</v>
      </c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46">
        <v>2361</v>
      </c>
      <c r="W499" s="39"/>
      <c r="X499" s="39"/>
      <c r="Y499" s="39"/>
      <c r="Z499" s="40"/>
      <c r="AA499" s="26"/>
      <c r="AB499" s="27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  <c r="IU499" s="34"/>
      <c r="IV499" s="34"/>
    </row>
    <row r="500" spans="1:28" ht="30">
      <c r="A500" s="54" t="s">
        <v>744</v>
      </c>
      <c r="B500" s="114" t="s">
        <v>745</v>
      </c>
      <c r="C500" s="102" t="s">
        <v>746</v>
      </c>
      <c r="D500" s="57">
        <v>511550.00000000006</v>
      </c>
      <c r="E500" s="58">
        <f>SUM(E501:E504)</f>
        <v>0</v>
      </c>
      <c r="F500" s="58">
        <f aca="true" t="shared" si="12" ref="F500:F504">D500</f>
        <v>511550.00000000006</v>
      </c>
      <c r="G500" s="58">
        <f>SUM(G501:G504)</f>
        <v>0</v>
      </c>
      <c r="H500" s="58">
        <f>SUM(H501:H504)</f>
        <v>0</v>
      </c>
      <c r="I500" s="58">
        <f>SUM(I501:I504)</f>
        <v>0</v>
      </c>
      <c r="J500" s="58">
        <f>SUM(J501:J504)</f>
        <v>0</v>
      </c>
      <c r="K500" s="58">
        <f>SUM(K501:K504)</f>
        <v>0</v>
      </c>
      <c r="L500" s="58">
        <f>SUM(L501:L504)</f>
        <v>0</v>
      </c>
      <c r="M500" s="58">
        <f>SUM(M501:M504)</f>
        <v>0</v>
      </c>
      <c r="N500" s="58">
        <f>SUM(N501:N504)</f>
        <v>0</v>
      </c>
      <c r="O500" s="58">
        <f>SUM(O501:O504)</f>
        <v>0</v>
      </c>
      <c r="P500" s="58">
        <f>SUM(P501:P504)</f>
        <v>0</v>
      </c>
      <c r="Q500" s="58">
        <f>SUM(Q501:Q504)</f>
        <v>0</v>
      </c>
      <c r="R500" s="58">
        <f>SUM(R501:R504)</f>
        <v>0</v>
      </c>
      <c r="S500" s="58">
        <f>SUM(S501:S504)</f>
        <v>0</v>
      </c>
      <c r="T500" s="58">
        <f>SUM(T501:T504)</f>
        <v>0</v>
      </c>
      <c r="U500" s="58">
        <f>SUM(U501:U504)</f>
        <v>0</v>
      </c>
      <c r="V500" s="58">
        <f>SUM(V501:V504)</f>
        <v>0</v>
      </c>
      <c r="W500" s="58">
        <f>SUM(W501:W504)</f>
        <v>0</v>
      </c>
      <c r="X500" s="58">
        <f>SUM(X501:X504)</f>
        <v>0</v>
      </c>
      <c r="Y500" s="58">
        <f>SUM(Y501:Y504)</f>
        <v>0</v>
      </c>
      <c r="Z500" s="117">
        <f>SUM(Z501:Z504)</f>
        <v>0</v>
      </c>
      <c r="AA500" s="26"/>
      <c r="AB500" s="27"/>
    </row>
    <row r="501" spans="1:256" ht="16.5">
      <c r="A501" s="35">
        <v>1</v>
      </c>
      <c r="B501" s="112" t="s">
        <v>747</v>
      </c>
      <c r="C501" s="103">
        <v>0.72</v>
      </c>
      <c r="D501" s="60">
        <v>368316</v>
      </c>
      <c r="E501" s="39"/>
      <c r="F501" s="46">
        <f t="shared" si="12"/>
        <v>368316</v>
      </c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40"/>
      <c r="AA501" s="26"/>
      <c r="AB501" s="27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  <c r="IU501" s="34"/>
      <c r="IV501" s="34"/>
    </row>
    <row r="502" spans="1:256" ht="16.5">
      <c r="A502" s="35">
        <v>2</v>
      </c>
      <c r="B502" s="112" t="s">
        <v>748</v>
      </c>
      <c r="C502" s="103">
        <v>0.21</v>
      </c>
      <c r="D502" s="60">
        <v>107425.50000000001</v>
      </c>
      <c r="E502" s="39"/>
      <c r="F502" s="46">
        <f t="shared" si="12"/>
        <v>107425.50000000001</v>
      </c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40"/>
      <c r="AA502" s="26"/>
      <c r="AB502" s="27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  <c r="IV502" s="34"/>
    </row>
    <row r="503" spans="1:256" ht="16.5">
      <c r="A503" s="35">
        <v>3</v>
      </c>
      <c r="B503" s="112" t="s">
        <v>749</v>
      </c>
      <c r="C503" s="103">
        <v>0.005</v>
      </c>
      <c r="D503" s="60">
        <v>2557.7500000000005</v>
      </c>
      <c r="E503" s="39"/>
      <c r="F503" s="46">
        <f t="shared" si="12"/>
        <v>2557.7500000000005</v>
      </c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40"/>
      <c r="AA503" s="26"/>
      <c r="AB503" s="27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  <c r="IU503" s="34"/>
      <c r="IV503" s="34"/>
    </row>
    <row r="504" spans="1:256" ht="16.5">
      <c r="A504" s="119">
        <v>4</v>
      </c>
      <c r="B504" s="120" t="s">
        <v>741</v>
      </c>
      <c r="C504" s="121">
        <v>0.065</v>
      </c>
      <c r="D504" s="122">
        <v>33250.75000000001</v>
      </c>
      <c r="E504" s="123"/>
      <c r="F504" s="124">
        <f t="shared" si="12"/>
        <v>33250.75000000001</v>
      </c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5"/>
      <c r="AA504" s="26"/>
      <c r="AB504" s="27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  <c r="IU504" s="34"/>
      <c r="IV504" s="34"/>
    </row>
    <row r="505" spans="1:28" ht="15">
      <c r="A505" s="126" t="s">
        <v>750</v>
      </c>
      <c r="B505" s="127" t="s">
        <v>751</v>
      </c>
      <c r="C505" s="128"/>
      <c r="D505" s="129">
        <f>D500+D490+D467+D461+D442+D439+D428+D395+D384+D372+D49+D163+D7+D296</f>
        <v>39350000</v>
      </c>
      <c r="E505" s="130">
        <f>E7+E49+E163+E296+E372+E384+E395+E428+E439+E442+E461+E467+E490+E500</f>
        <v>0</v>
      </c>
      <c r="F505" s="130">
        <f>F7+F49+F163+F296+F372+F384+F395+F428+F439+F442+F461+F467+F490+F500</f>
        <v>511550.00000000006</v>
      </c>
      <c r="G505" s="130">
        <f>G7+G49+G163+G296+G372+G384+G395+G428+G439+G442+G461+G467+G490+G500</f>
        <v>0</v>
      </c>
      <c r="H505" s="130">
        <f>H7+H49+H163+H296+H372+H384+H395+H428+H439+H442+H461+H467+H490+H500</f>
        <v>173533.5</v>
      </c>
      <c r="I505" s="130">
        <f>I7+I49+I163+I296+I372+I384+I395+I428+I439+I442+I461+I467+I490+I500</f>
        <v>0</v>
      </c>
      <c r="J505" s="130">
        <f>J7+J49+J163+J296+J372+J384+J395+J428+J439+J442+J461+J467+J490+J500</f>
        <v>891710.6599999999</v>
      </c>
      <c r="K505" s="130">
        <f>K7+K49+K163+K296+K372+K384+K395+K428+K439+K442+K461+K467+K490+K500</f>
        <v>737305.32</v>
      </c>
      <c r="L505" s="130">
        <f>L7+L49+L163+L296+L372+L384+L395+L428+L439+L442+L461+L467+L490+L500</f>
        <v>246736.74</v>
      </c>
      <c r="M505" s="130">
        <f>M7+M49+M163+M296+M372+M384+M395+M428+M439+M442+M461+M467+M490+M500</f>
        <v>582380</v>
      </c>
      <c r="N505" s="130">
        <f>N7+N49+N163+N296+N372+N384+N395+N428+N439+N442+N461+N467+N490+N500</f>
        <v>1090142.4725000001</v>
      </c>
      <c r="O505" s="130">
        <f>O7+O49+O163+O296+O372+O384+O395+O428+O439+O442+O461+O467+O490+O500</f>
        <v>2975535.14</v>
      </c>
      <c r="P505" s="130">
        <f>P7+P49+P163+P296+P372+P384+P395+P428+P439+P442+P461+P467+P490+P500</f>
        <v>6161028.618882527</v>
      </c>
      <c r="Q505" s="131">
        <f>Q7+Q49+Q163+Q296+Q372+Q384+Q395+Q428+Q439+Q442+Q461+Q467+Q490+Q500</f>
        <v>6130510.33</v>
      </c>
      <c r="R505" s="131">
        <f>R7+R49+R163+R296+R372+R384+R395+R428+R439+R442+R461+R467+R490+R500+0.01</f>
        <v>8673889.45</v>
      </c>
      <c r="S505" s="131">
        <f>S7+S49+S163+S296+S372+S384+S395+S428+S439+S442+S461+S467+S490+S500</f>
        <v>5896640.65</v>
      </c>
      <c r="T505" s="132">
        <f>T7+T49+T163+T296+T372+T384+T395+T428+T439+T442+T461+T467+T490+T500</f>
        <v>1031613.68</v>
      </c>
      <c r="U505" s="132">
        <f>U7+U49+U163+U296+U372+U384+U395+U428+U439+U442+U461+U467+U490+U500</f>
        <v>1659892.3515</v>
      </c>
      <c r="V505" s="132">
        <f>V7+V49+V163+V296+V372+V384+V395+V428+V439+V442+V461+V467+V490+V500</f>
        <v>42498</v>
      </c>
      <c r="W505" s="132">
        <f>W7+W49+W163+W296+W372+W384+W395+W428+W439+W442+W461+W467+W490+W500</f>
        <v>0</v>
      </c>
      <c r="X505" s="132">
        <f>X7+X49+X163+X296+X372+X384+X395+X428+X439+X442+X461+X467+X490+X500</f>
        <v>0</v>
      </c>
      <c r="Y505" s="132">
        <f>Y7+Y49+Y163+Y296+Y372+Y384+Y395+Y428+Y439+Y442+Y461+Y467+Y490+Y500</f>
        <v>0</v>
      </c>
      <c r="Z505" s="132">
        <f>Z7+Z49+Z163+Z296+Z372+Z384+Z395+Z428+Z439+Z442+Z461+Z467+Z490+Z500</f>
        <v>0</v>
      </c>
      <c r="AA505" s="26"/>
      <c r="AB505" s="27"/>
    </row>
    <row r="507" spans="12:16" ht="15">
      <c r="L507" s="133"/>
      <c r="N507" s="134">
        <v>1090142.46</v>
      </c>
      <c r="O507" s="134">
        <v>2975535.14</v>
      </c>
      <c r="P507" s="134">
        <v>6161028.618882527</v>
      </c>
    </row>
    <row r="509" ht="15">
      <c r="G509" s="26"/>
    </row>
    <row r="510" spans="7:8" ht="15">
      <c r="G510" s="135"/>
      <c r="H510" s="135"/>
    </row>
    <row r="511" spans="7:15" ht="15">
      <c r="G511" s="135"/>
      <c r="H511" s="135"/>
      <c r="O511" s="26"/>
    </row>
    <row r="512" ht="15">
      <c r="J512" s="136"/>
    </row>
    <row r="513" spans="6:12" ht="15">
      <c r="F513" s="136"/>
      <c r="H513" s="136"/>
      <c r="J513" s="136"/>
      <c r="K513" s="136"/>
      <c r="L513" s="136"/>
    </row>
    <row r="515" ht="15">
      <c r="L515" s="26"/>
    </row>
    <row r="516" ht="15">
      <c r="J516" s="137"/>
    </row>
    <row r="522" ht="15">
      <c r="I522" s="138"/>
    </row>
  </sheetData>
  <sheetProtection selectLockedCells="1" selectUnlockedCells="1"/>
  <mergeCells count="8">
    <mergeCell ref="B1:Z1"/>
    <mergeCell ref="A4:A5"/>
    <mergeCell ref="B4:B5"/>
    <mergeCell ref="C4:C5"/>
    <mergeCell ref="E4:K4"/>
    <mergeCell ref="L4:W4"/>
    <mergeCell ref="X4:Z4"/>
    <mergeCell ref="G510:H511"/>
  </mergeCells>
  <printOptions horizontalCentered="1"/>
  <pageMargins left="0" right="0" top="1.1416666666666666" bottom="0.15763888888888888" header="0.5118055555555555" footer="0.5118055555555555"/>
  <pageSetup fitToHeight="0" fitToWidth="1" horizontalDpi="300" verticalDpi="300" orientation="portrait" paperSize="8"/>
  <colBreaks count="1" manualBreakCount="1">
    <brk id="2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4"/>
  <sheetViews>
    <sheetView zoomScale="50" zoomScaleNormal="50" zoomScaleSheetLayoutView="50" workbookViewId="0" topLeftCell="A1">
      <pane ySplit="10" topLeftCell="A458" activePane="bottomLeft" state="frozen"/>
      <selection pane="topLeft" activeCell="A1" sqref="A1"/>
      <selection pane="bottomLeft" activeCell="J49" sqref="J49"/>
    </sheetView>
  </sheetViews>
  <sheetFormatPr defaultColWidth="11.421875" defaultRowHeight="15"/>
  <cols>
    <col min="1" max="1" width="15.7109375" style="139" customWidth="1"/>
    <col min="2" max="2" width="92.7109375" style="139" customWidth="1"/>
    <col min="3" max="3" width="32.57421875" style="140" customWidth="1"/>
    <col min="4" max="4" width="10.8515625" style="141" hidden="1" customWidth="1"/>
    <col min="5" max="5" width="35.421875" style="141" customWidth="1"/>
    <col min="6" max="6" width="10.8515625" style="140" hidden="1" customWidth="1"/>
    <col min="7" max="7" width="27.00390625" style="140" customWidth="1"/>
    <col min="8" max="8" width="36.8515625" style="140" customWidth="1"/>
    <col min="9" max="9" width="31.8515625" style="142" customWidth="1"/>
    <col min="10" max="10" width="23.28125" style="142" customWidth="1"/>
    <col min="11" max="11" width="39.7109375" style="143" customWidth="1"/>
    <col min="12" max="12" width="25.57421875" style="144" customWidth="1"/>
    <col min="13" max="13" width="31.140625" style="144" customWidth="1"/>
    <col min="14" max="14" width="10.8515625" style="144" customWidth="1"/>
    <col min="15" max="15" width="10.8515625" style="145" customWidth="1"/>
    <col min="16" max="16" width="17.7109375" style="144" customWidth="1"/>
    <col min="17" max="17" width="35.28125" style="146" customWidth="1"/>
    <col min="18" max="18" width="21.421875" style="146" customWidth="1"/>
    <col min="19" max="19" width="10.8515625" style="144" customWidth="1"/>
    <col min="20" max="20" width="25.7109375" style="144" customWidth="1"/>
    <col min="21" max="16384" width="10.8515625" style="144" customWidth="1"/>
  </cols>
  <sheetData>
    <row r="1" spans="9:15" ht="57.75" customHeight="1">
      <c r="I1" s="140"/>
      <c r="J1" s="140"/>
      <c r="K1" s="141"/>
      <c r="O1" s="144"/>
    </row>
    <row r="2" spans="1:15" ht="23.25" customHeight="1">
      <c r="A2" s="147"/>
      <c r="B2" s="148" t="s">
        <v>752</v>
      </c>
      <c r="C2" s="148"/>
      <c r="D2" s="148"/>
      <c r="E2" s="148"/>
      <c r="F2" s="148"/>
      <c r="G2" s="148"/>
      <c r="H2" s="148"/>
      <c r="I2" s="148"/>
      <c r="J2" s="148"/>
      <c r="K2" s="148"/>
      <c r="O2" s="144"/>
    </row>
    <row r="3" spans="1:15" ht="49.5" customHeight="1">
      <c r="A3" s="148" t="s">
        <v>753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O3" s="144"/>
    </row>
    <row r="4" spans="1:15" ht="23.25" customHeight="1">
      <c r="A4" s="149" t="s">
        <v>754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O4" s="144"/>
    </row>
    <row r="5" spans="1:15" ht="23.25" customHeight="1">
      <c r="A5" s="150" t="s">
        <v>755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O5" s="144"/>
    </row>
    <row r="6" spans="1:15" ht="23.25" customHeight="1">
      <c r="A6" s="151" t="s">
        <v>756</v>
      </c>
      <c r="B6" s="151"/>
      <c r="C6" s="151"/>
      <c r="D6" s="151"/>
      <c r="E6" s="151"/>
      <c r="F6" s="151"/>
      <c r="G6" s="151"/>
      <c r="H6" s="151"/>
      <c r="I6" s="151"/>
      <c r="J6" s="152"/>
      <c r="K6" s="153"/>
      <c r="O6" s="144"/>
    </row>
    <row r="7" spans="1:15" ht="23.25" customHeight="1">
      <c r="A7" s="150" t="s">
        <v>757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O7" s="144"/>
    </row>
    <row r="8" spans="1:15" ht="23.25">
      <c r="A8" s="147"/>
      <c r="B8" s="147"/>
      <c r="C8" s="154"/>
      <c r="D8" s="155"/>
      <c r="E8" s="155"/>
      <c r="F8" s="154"/>
      <c r="G8" s="154"/>
      <c r="H8" s="155"/>
      <c r="I8" s="155"/>
      <c r="J8" s="155"/>
      <c r="K8" s="156">
        <v>39350000</v>
      </c>
      <c r="O8" s="144"/>
    </row>
    <row r="9" spans="1:15" ht="96" customHeight="1">
      <c r="A9" s="157" t="s">
        <v>758</v>
      </c>
      <c r="B9" s="157" t="s">
        <v>759</v>
      </c>
      <c r="C9" s="157"/>
      <c r="D9" s="158" t="s">
        <v>760</v>
      </c>
      <c r="E9" s="158" t="s">
        <v>761</v>
      </c>
      <c r="F9" s="157"/>
      <c r="G9" s="157" t="s">
        <v>762</v>
      </c>
      <c r="H9" s="158" t="s">
        <v>763</v>
      </c>
      <c r="I9" s="158" t="s">
        <v>764</v>
      </c>
      <c r="J9" s="159" t="s">
        <v>765</v>
      </c>
      <c r="K9" s="160" t="s">
        <v>766</v>
      </c>
      <c r="O9" s="144"/>
    </row>
    <row r="10" spans="1:15" ht="23.25">
      <c r="A10" s="157">
        <v>1</v>
      </c>
      <c r="B10" s="157">
        <v>2</v>
      </c>
      <c r="C10" s="157">
        <v>3</v>
      </c>
      <c r="D10" s="161">
        <v>4</v>
      </c>
      <c r="E10" s="161">
        <v>4</v>
      </c>
      <c r="F10" s="157"/>
      <c r="G10" s="157">
        <v>5</v>
      </c>
      <c r="H10" s="162">
        <v>6</v>
      </c>
      <c r="I10" s="162">
        <v>7</v>
      </c>
      <c r="J10" s="163">
        <v>8</v>
      </c>
      <c r="K10" s="164">
        <v>9</v>
      </c>
      <c r="O10" s="144"/>
    </row>
    <row r="11" spans="1:17" ht="23.25">
      <c r="A11" s="165" t="s">
        <v>6</v>
      </c>
      <c r="B11" s="166" t="s">
        <v>7</v>
      </c>
      <c r="C11" s="167" t="s">
        <v>8</v>
      </c>
      <c r="D11" s="168">
        <f>K8*0.028</f>
        <v>1101800</v>
      </c>
      <c r="E11" s="168">
        <f>$K$8*2.8%</f>
        <v>1101800</v>
      </c>
      <c r="F11" s="169">
        <f>SUM(E12:E52)</f>
        <v>2368870</v>
      </c>
      <c r="G11" s="170">
        <f>+H11/E11</f>
        <v>0.8699673352695589</v>
      </c>
      <c r="H11" s="171">
        <f>+H12+H39+H44+H47+H48+H49+H50+H51+H52</f>
        <v>958530.01</v>
      </c>
      <c r="I11" s="171">
        <f>+I12+I39+I44+I47+I48+I49+I50+I51+I52</f>
        <v>958530.01</v>
      </c>
      <c r="J11" s="172">
        <f aca="true" t="shared" si="0" ref="J11:J256">+K11/E11</f>
        <v>0</v>
      </c>
      <c r="K11" s="173">
        <f>+K12+K39+K44+K47+K48+K49+K50+K51+K52</f>
        <v>0</v>
      </c>
      <c r="L11" s="174"/>
      <c r="M11" s="174">
        <f aca="true" t="shared" si="1" ref="M11:M508">+H11-I11</f>
        <v>0</v>
      </c>
      <c r="O11" s="144"/>
      <c r="Q11" s="175">
        <f>+K11+K53+K167+K300+K376+K388+K399+K432+K443+K446+K465+K471+K494+K504</f>
        <v>2886567.7069999995</v>
      </c>
    </row>
    <row r="12" spans="1:18" s="184" customFormat="1" ht="43.5">
      <c r="A12" s="176">
        <v>1</v>
      </c>
      <c r="B12" s="177" t="s">
        <v>9</v>
      </c>
      <c r="C12" s="178">
        <v>0.35</v>
      </c>
      <c r="D12" s="179">
        <v>385630</v>
      </c>
      <c r="E12" s="179">
        <f>$E$11*C12</f>
        <v>385630</v>
      </c>
      <c r="F12" s="180"/>
      <c r="G12" s="181">
        <f aca="true" t="shared" si="2" ref="G12:G52">H12/E12</f>
        <v>1.0000000259315924</v>
      </c>
      <c r="H12" s="182">
        <f>+H13+H18</f>
        <v>385630.01</v>
      </c>
      <c r="I12" s="182">
        <f>+I13+I18</f>
        <v>385630.01</v>
      </c>
      <c r="J12" s="181">
        <f t="shared" si="0"/>
        <v>0</v>
      </c>
      <c r="K12" s="183">
        <f>+K13+K18</f>
        <v>0</v>
      </c>
      <c r="M12" s="174">
        <f t="shared" si="1"/>
        <v>0</v>
      </c>
      <c r="Q12" s="185"/>
      <c r="R12" s="185"/>
    </row>
    <row r="13" spans="1:15" ht="23.25">
      <c r="A13" s="186" t="s">
        <v>10</v>
      </c>
      <c r="B13" s="187" t="s">
        <v>11</v>
      </c>
      <c r="C13" s="188">
        <v>0.25</v>
      </c>
      <c r="D13" s="189">
        <v>96407.5</v>
      </c>
      <c r="E13" s="189">
        <f>+C13*$E$12</f>
        <v>96407.5</v>
      </c>
      <c r="F13" s="190"/>
      <c r="G13" s="191">
        <f t="shared" si="2"/>
        <v>1.00000010372637</v>
      </c>
      <c r="H13" s="192">
        <f>+H14+H15+H16+H17</f>
        <v>96407.51000000001</v>
      </c>
      <c r="I13" s="192">
        <f>+I14+I15+I16+I17</f>
        <v>96407.51000000001</v>
      </c>
      <c r="J13" s="191">
        <f t="shared" si="0"/>
        <v>0</v>
      </c>
      <c r="K13" s="193">
        <f>+K14+K15+K16+K17</f>
        <v>0</v>
      </c>
      <c r="M13" s="174">
        <f t="shared" si="1"/>
        <v>0</v>
      </c>
      <c r="O13" s="144"/>
    </row>
    <row r="14" spans="1:18" s="202" customFormat="1" ht="23.25">
      <c r="A14" s="194" t="s">
        <v>12</v>
      </c>
      <c r="B14" s="195" t="s">
        <v>13</v>
      </c>
      <c r="C14" s="196"/>
      <c r="D14" s="197">
        <v>48203.75</v>
      </c>
      <c r="E14" s="197">
        <v>48203.75</v>
      </c>
      <c r="F14" s="198"/>
      <c r="G14" s="199">
        <f t="shared" si="2"/>
        <v>1</v>
      </c>
      <c r="H14" s="200">
        <f aca="true" t="shared" si="3" ref="H14:H17">I14+K14</f>
        <v>48203.75</v>
      </c>
      <c r="I14" s="200">
        <v>48203.75</v>
      </c>
      <c r="J14" s="199">
        <f t="shared" si="0"/>
        <v>0</v>
      </c>
      <c r="K14" s="201">
        <v>0</v>
      </c>
      <c r="M14" s="174">
        <f t="shared" si="1"/>
        <v>0</v>
      </c>
      <c r="Q14" s="203"/>
      <c r="R14" s="203"/>
    </row>
    <row r="15" spans="1:18" s="202" customFormat="1" ht="23.25">
      <c r="A15" s="204" t="s">
        <v>14</v>
      </c>
      <c r="B15" s="205" t="s">
        <v>15</v>
      </c>
      <c r="C15" s="196"/>
      <c r="D15" s="197">
        <v>28922.25</v>
      </c>
      <c r="E15" s="197">
        <v>28922.25</v>
      </c>
      <c r="F15" s="198"/>
      <c r="G15" s="199">
        <f t="shared" si="2"/>
        <v>1</v>
      </c>
      <c r="H15" s="200">
        <f t="shared" si="3"/>
        <v>28922.25</v>
      </c>
      <c r="I15" s="200">
        <v>28922.25</v>
      </c>
      <c r="J15" s="206">
        <f t="shared" si="0"/>
        <v>0</v>
      </c>
      <c r="K15" s="201">
        <v>0</v>
      </c>
      <c r="M15" s="174">
        <f t="shared" si="1"/>
        <v>0</v>
      </c>
      <c r="Q15" s="203"/>
      <c r="R15" s="203"/>
    </row>
    <row r="16" spans="1:18" s="202" customFormat="1" ht="23.25">
      <c r="A16" s="204" t="s">
        <v>16</v>
      </c>
      <c r="B16" s="205" t="s">
        <v>17</v>
      </c>
      <c r="C16" s="196"/>
      <c r="D16" s="197">
        <v>14461.12</v>
      </c>
      <c r="E16" s="197">
        <v>14461.12</v>
      </c>
      <c r="F16" s="198"/>
      <c r="G16" s="199">
        <f t="shared" si="2"/>
        <v>1.0000006915093713</v>
      </c>
      <c r="H16" s="200">
        <f t="shared" si="3"/>
        <v>14461.13</v>
      </c>
      <c r="I16" s="200">
        <v>14461.13</v>
      </c>
      <c r="J16" s="206">
        <f t="shared" si="0"/>
        <v>0</v>
      </c>
      <c r="K16" s="201">
        <v>0</v>
      </c>
      <c r="M16" s="174">
        <f t="shared" si="1"/>
        <v>0</v>
      </c>
      <c r="Q16" s="203"/>
      <c r="R16" s="203"/>
    </row>
    <row r="17" spans="1:18" s="202" customFormat="1" ht="23.25">
      <c r="A17" s="207" t="s">
        <v>18</v>
      </c>
      <c r="B17" s="208" t="s">
        <v>19</v>
      </c>
      <c r="C17" s="209"/>
      <c r="D17" s="210">
        <v>4820.38</v>
      </c>
      <c r="E17" s="210">
        <v>4820.38</v>
      </c>
      <c r="F17" s="211"/>
      <c r="G17" s="212">
        <f t="shared" si="2"/>
        <v>1</v>
      </c>
      <c r="H17" s="213">
        <f t="shared" si="3"/>
        <v>4820.38</v>
      </c>
      <c r="I17" s="214">
        <v>4820.38</v>
      </c>
      <c r="J17" s="215">
        <f t="shared" si="0"/>
        <v>0</v>
      </c>
      <c r="K17" s="216">
        <v>0</v>
      </c>
      <c r="M17" s="174">
        <f t="shared" si="1"/>
        <v>0</v>
      </c>
      <c r="Q17" s="203"/>
      <c r="R17" s="203"/>
    </row>
    <row r="18" spans="1:15" ht="23.25">
      <c r="A18" s="186" t="s">
        <v>20</v>
      </c>
      <c r="B18" s="187" t="s">
        <v>21</v>
      </c>
      <c r="C18" s="188">
        <v>0.75</v>
      </c>
      <c r="D18" s="189">
        <v>289222.5</v>
      </c>
      <c r="E18" s="189">
        <f>+C18*$E$12</f>
        <v>289222.5</v>
      </c>
      <c r="F18" s="190"/>
      <c r="G18" s="191">
        <f t="shared" si="2"/>
        <v>1</v>
      </c>
      <c r="H18" s="192">
        <f>SUM(H19:H38)</f>
        <v>289222.5</v>
      </c>
      <c r="I18" s="192">
        <f>SUM(I19:I38)</f>
        <v>289222.5</v>
      </c>
      <c r="J18" s="191">
        <f t="shared" si="0"/>
        <v>0</v>
      </c>
      <c r="K18" s="193">
        <f>SUM(K19:K38)</f>
        <v>0</v>
      </c>
      <c r="M18" s="174">
        <f t="shared" si="1"/>
        <v>0</v>
      </c>
      <c r="O18" s="144"/>
    </row>
    <row r="19" spans="1:18" s="202" customFormat="1" ht="23.25">
      <c r="A19" s="194" t="s">
        <v>22</v>
      </c>
      <c r="B19" s="195" t="s">
        <v>23</v>
      </c>
      <c r="C19" s="196"/>
      <c r="D19" s="217">
        <v>35000</v>
      </c>
      <c r="E19" s="217">
        <v>35000</v>
      </c>
      <c r="F19" s="198"/>
      <c r="G19" s="199">
        <f t="shared" si="2"/>
        <v>1</v>
      </c>
      <c r="H19" s="200">
        <f aca="true" t="shared" si="4" ref="H19:H38">I19+K19</f>
        <v>35000</v>
      </c>
      <c r="I19" s="200">
        <v>35000</v>
      </c>
      <c r="J19" s="199">
        <f t="shared" si="0"/>
        <v>0</v>
      </c>
      <c r="K19" s="201">
        <v>0</v>
      </c>
      <c r="M19" s="174">
        <f t="shared" si="1"/>
        <v>0</v>
      </c>
      <c r="Q19" s="203"/>
      <c r="R19" s="203"/>
    </row>
    <row r="20" spans="1:18" s="202" customFormat="1" ht="23.25">
      <c r="A20" s="204" t="s">
        <v>24</v>
      </c>
      <c r="B20" s="205" t="s">
        <v>25</v>
      </c>
      <c r="C20" s="196"/>
      <c r="D20" s="217">
        <v>15000</v>
      </c>
      <c r="E20" s="217">
        <v>15000</v>
      </c>
      <c r="F20" s="198"/>
      <c r="G20" s="199">
        <f t="shared" si="2"/>
        <v>1</v>
      </c>
      <c r="H20" s="200">
        <f t="shared" si="4"/>
        <v>15000</v>
      </c>
      <c r="I20" s="200">
        <v>15000</v>
      </c>
      <c r="J20" s="206">
        <f t="shared" si="0"/>
        <v>0</v>
      </c>
      <c r="K20" s="201">
        <v>0</v>
      </c>
      <c r="M20" s="174">
        <f t="shared" si="1"/>
        <v>0</v>
      </c>
      <c r="Q20" s="203"/>
      <c r="R20" s="203"/>
    </row>
    <row r="21" spans="1:18" s="202" customFormat="1" ht="23.25">
      <c r="A21" s="204" t="s">
        <v>26</v>
      </c>
      <c r="B21" s="205" t="s">
        <v>27</v>
      </c>
      <c r="C21" s="196"/>
      <c r="D21" s="217">
        <v>7000</v>
      </c>
      <c r="E21" s="217">
        <v>7000</v>
      </c>
      <c r="F21" s="198"/>
      <c r="G21" s="199">
        <f t="shared" si="2"/>
        <v>1</v>
      </c>
      <c r="H21" s="200">
        <f t="shared" si="4"/>
        <v>7000</v>
      </c>
      <c r="I21" s="200">
        <v>7000</v>
      </c>
      <c r="J21" s="206">
        <f t="shared" si="0"/>
        <v>0</v>
      </c>
      <c r="K21" s="201">
        <v>0</v>
      </c>
      <c r="M21" s="174">
        <f t="shared" si="1"/>
        <v>0</v>
      </c>
      <c r="Q21" s="203"/>
      <c r="R21" s="203"/>
    </row>
    <row r="22" spans="1:18" s="202" customFormat="1" ht="23.25">
      <c r="A22" s="204" t="s">
        <v>28</v>
      </c>
      <c r="B22" s="205" t="s">
        <v>29</v>
      </c>
      <c r="C22" s="196"/>
      <c r="D22" s="217">
        <v>8000</v>
      </c>
      <c r="E22" s="217">
        <v>8000</v>
      </c>
      <c r="F22" s="198"/>
      <c r="G22" s="199">
        <f t="shared" si="2"/>
        <v>1</v>
      </c>
      <c r="H22" s="200">
        <f t="shared" si="4"/>
        <v>8000</v>
      </c>
      <c r="I22" s="200">
        <v>8000</v>
      </c>
      <c r="J22" s="206">
        <f t="shared" si="0"/>
        <v>0</v>
      </c>
      <c r="K22" s="201">
        <v>0</v>
      </c>
      <c r="M22" s="174">
        <f t="shared" si="1"/>
        <v>0</v>
      </c>
      <c r="Q22" s="203"/>
      <c r="R22" s="203"/>
    </row>
    <row r="23" spans="1:18" s="202" customFormat="1" ht="23.25">
      <c r="A23" s="204" t="s">
        <v>30</v>
      </c>
      <c r="B23" s="205" t="s">
        <v>31</v>
      </c>
      <c r="C23" s="196"/>
      <c r="D23" s="217">
        <v>12000</v>
      </c>
      <c r="E23" s="217">
        <v>12000</v>
      </c>
      <c r="F23" s="198"/>
      <c r="G23" s="199">
        <f t="shared" si="2"/>
        <v>1</v>
      </c>
      <c r="H23" s="200">
        <f t="shared" si="4"/>
        <v>12000</v>
      </c>
      <c r="I23" s="200">
        <v>12000</v>
      </c>
      <c r="J23" s="206">
        <f t="shared" si="0"/>
        <v>0</v>
      </c>
      <c r="K23" s="201">
        <v>0</v>
      </c>
      <c r="M23" s="174">
        <f t="shared" si="1"/>
        <v>0</v>
      </c>
      <c r="Q23" s="203"/>
      <c r="R23" s="203"/>
    </row>
    <row r="24" spans="1:18" s="202" customFormat="1" ht="23.25">
      <c r="A24" s="204" t="s">
        <v>32</v>
      </c>
      <c r="B24" s="205" t="s">
        <v>33</v>
      </c>
      <c r="C24" s="196"/>
      <c r="D24" s="217">
        <v>8000</v>
      </c>
      <c r="E24" s="217">
        <v>8000</v>
      </c>
      <c r="F24" s="198"/>
      <c r="G24" s="199">
        <f t="shared" si="2"/>
        <v>1</v>
      </c>
      <c r="H24" s="200">
        <f t="shared" si="4"/>
        <v>8000</v>
      </c>
      <c r="I24" s="200">
        <v>8000</v>
      </c>
      <c r="J24" s="206">
        <f t="shared" si="0"/>
        <v>0</v>
      </c>
      <c r="K24" s="201">
        <v>0</v>
      </c>
      <c r="M24" s="174">
        <f t="shared" si="1"/>
        <v>0</v>
      </c>
      <c r="Q24" s="203"/>
      <c r="R24" s="203"/>
    </row>
    <row r="25" spans="1:18" s="202" customFormat="1" ht="23.25">
      <c r="A25" s="204" t="s">
        <v>34</v>
      </c>
      <c r="B25" s="205" t="s">
        <v>35</v>
      </c>
      <c r="C25" s="196"/>
      <c r="D25" s="217">
        <v>12000</v>
      </c>
      <c r="E25" s="217">
        <v>12000</v>
      </c>
      <c r="F25" s="198"/>
      <c r="G25" s="199">
        <f t="shared" si="2"/>
        <v>1</v>
      </c>
      <c r="H25" s="200">
        <f t="shared" si="4"/>
        <v>12000</v>
      </c>
      <c r="I25" s="200">
        <v>12000</v>
      </c>
      <c r="J25" s="206">
        <f t="shared" si="0"/>
        <v>0</v>
      </c>
      <c r="K25" s="201">
        <v>0</v>
      </c>
      <c r="M25" s="174">
        <f t="shared" si="1"/>
        <v>0</v>
      </c>
      <c r="Q25" s="203"/>
      <c r="R25" s="203"/>
    </row>
    <row r="26" spans="1:18" s="202" customFormat="1" ht="23.25">
      <c r="A26" s="204" t="s">
        <v>36</v>
      </c>
      <c r="B26" s="205" t="s">
        <v>37</v>
      </c>
      <c r="C26" s="196"/>
      <c r="D26" s="217">
        <v>35000</v>
      </c>
      <c r="E26" s="217">
        <v>35000</v>
      </c>
      <c r="F26" s="198"/>
      <c r="G26" s="199">
        <f t="shared" si="2"/>
        <v>1</v>
      </c>
      <c r="H26" s="200">
        <f t="shared" si="4"/>
        <v>35000</v>
      </c>
      <c r="I26" s="200">
        <v>35000</v>
      </c>
      <c r="J26" s="206">
        <f t="shared" si="0"/>
        <v>0</v>
      </c>
      <c r="K26" s="201">
        <v>0</v>
      </c>
      <c r="M26" s="174">
        <f t="shared" si="1"/>
        <v>0</v>
      </c>
      <c r="Q26" s="203"/>
      <c r="R26" s="203"/>
    </row>
    <row r="27" spans="1:18" s="202" customFormat="1" ht="23.25">
      <c r="A27" s="204" t="s">
        <v>38</v>
      </c>
      <c r="B27" s="205" t="s">
        <v>39</v>
      </c>
      <c r="C27" s="196"/>
      <c r="D27" s="217">
        <v>15000</v>
      </c>
      <c r="E27" s="217">
        <v>15000</v>
      </c>
      <c r="F27" s="198"/>
      <c r="G27" s="199">
        <f t="shared" si="2"/>
        <v>1</v>
      </c>
      <c r="H27" s="200">
        <f t="shared" si="4"/>
        <v>15000</v>
      </c>
      <c r="I27" s="200">
        <v>15000</v>
      </c>
      <c r="J27" s="206">
        <f t="shared" si="0"/>
        <v>0</v>
      </c>
      <c r="K27" s="201">
        <v>0</v>
      </c>
      <c r="M27" s="174">
        <f t="shared" si="1"/>
        <v>0</v>
      </c>
      <c r="Q27" s="203"/>
      <c r="R27" s="203"/>
    </row>
    <row r="28" spans="1:18" s="202" customFormat="1" ht="23.25">
      <c r="A28" s="204" t="s">
        <v>40</v>
      </c>
      <c r="B28" s="205" t="s">
        <v>41</v>
      </c>
      <c r="C28" s="196"/>
      <c r="D28" s="217">
        <v>35000</v>
      </c>
      <c r="E28" s="217">
        <v>35000</v>
      </c>
      <c r="F28" s="198"/>
      <c r="G28" s="199">
        <f t="shared" si="2"/>
        <v>1</v>
      </c>
      <c r="H28" s="200">
        <f t="shared" si="4"/>
        <v>35000</v>
      </c>
      <c r="I28" s="200">
        <v>35000</v>
      </c>
      <c r="J28" s="206">
        <f t="shared" si="0"/>
        <v>0</v>
      </c>
      <c r="K28" s="201">
        <v>0</v>
      </c>
      <c r="M28" s="174">
        <f t="shared" si="1"/>
        <v>0</v>
      </c>
      <c r="Q28" s="203"/>
      <c r="R28" s="203"/>
    </row>
    <row r="29" spans="1:18" s="202" customFormat="1" ht="23.25">
      <c r="A29" s="204" t="s">
        <v>42</v>
      </c>
      <c r="B29" s="205" t="s">
        <v>43</v>
      </c>
      <c r="C29" s="196"/>
      <c r="D29" s="217">
        <v>8000</v>
      </c>
      <c r="E29" s="217">
        <v>8000</v>
      </c>
      <c r="F29" s="198"/>
      <c r="G29" s="199">
        <f t="shared" si="2"/>
        <v>1</v>
      </c>
      <c r="H29" s="200">
        <f t="shared" si="4"/>
        <v>8000</v>
      </c>
      <c r="I29" s="200">
        <v>8000</v>
      </c>
      <c r="J29" s="206">
        <f t="shared" si="0"/>
        <v>0</v>
      </c>
      <c r="K29" s="201">
        <v>0</v>
      </c>
      <c r="M29" s="174">
        <f t="shared" si="1"/>
        <v>0</v>
      </c>
      <c r="Q29" s="203"/>
      <c r="R29" s="203"/>
    </row>
    <row r="30" spans="1:18" s="202" customFormat="1" ht="23.25">
      <c r="A30" s="204" t="s">
        <v>44</v>
      </c>
      <c r="B30" s="205" t="s">
        <v>45</v>
      </c>
      <c r="C30" s="196"/>
      <c r="D30" s="217">
        <v>8000</v>
      </c>
      <c r="E30" s="217">
        <v>8000</v>
      </c>
      <c r="F30" s="198"/>
      <c r="G30" s="199">
        <f t="shared" si="2"/>
        <v>1</v>
      </c>
      <c r="H30" s="200">
        <f t="shared" si="4"/>
        <v>8000</v>
      </c>
      <c r="I30" s="200">
        <v>8000</v>
      </c>
      <c r="J30" s="206">
        <f t="shared" si="0"/>
        <v>0</v>
      </c>
      <c r="K30" s="201">
        <v>0</v>
      </c>
      <c r="M30" s="174">
        <f t="shared" si="1"/>
        <v>0</v>
      </c>
      <c r="Q30" s="203"/>
      <c r="R30" s="203"/>
    </row>
    <row r="31" spans="1:18" s="202" customFormat="1" ht="23.25">
      <c r="A31" s="204" t="s">
        <v>46</v>
      </c>
      <c r="B31" s="205" t="s">
        <v>47</v>
      </c>
      <c r="C31" s="196"/>
      <c r="D31" s="217">
        <v>12000</v>
      </c>
      <c r="E31" s="217">
        <v>12000</v>
      </c>
      <c r="F31" s="198"/>
      <c r="G31" s="199">
        <f t="shared" si="2"/>
        <v>1</v>
      </c>
      <c r="H31" s="200">
        <f t="shared" si="4"/>
        <v>12000</v>
      </c>
      <c r="I31" s="200">
        <v>12000</v>
      </c>
      <c r="J31" s="206">
        <f t="shared" si="0"/>
        <v>0</v>
      </c>
      <c r="K31" s="201">
        <v>0</v>
      </c>
      <c r="M31" s="174">
        <f t="shared" si="1"/>
        <v>0</v>
      </c>
      <c r="Q31" s="203"/>
      <c r="R31" s="203"/>
    </row>
    <row r="32" spans="1:18" s="202" customFormat="1" ht="23.25">
      <c r="A32" s="204" t="s">
        <v>48</v>
      </c>
      <c r="B32" s="205" t="s">
        <v>49</v>
      </c>
      <c r="C32" s="196"/>
      <c r="D32" s="217">
        <v>8000</v>
      </c>
      <c r="E32" s="217">
        <v>8000</v>
      </c>
      <c r="F32" s="198"/>
      <c r="G32" s="199">
        <f t="shared" si="2"/>
        <v>1</v>
      </c>
      <c r="H32" s="200">
        <f t="shared" si="4"/>
        <v>8000</v>
      </c>
      <c r="I32" s="200">
        <v>8000</v>
      </c>
      <c r="J32" s="206">
        <f t="shared" si="0"/>
        <v>0</v>
      </c>
      <c r="K32" s="201">
        <v>0</v>
      </c>
      <c r="M32" s="174">
        <f t="shared" si="1"/>
        <v>0</v>
      </c>
      <c r="Q32" s="203"/>
      <c r="R32" s="203"/>
    </row>
    <row r="33" spans="1:18" s="202" customFormat="1" ht="23.25">
      <c r="A33" s="204" t="s">
        <v>50</v>
      </c>
      <c r="B33" s="205" t="s">
        <v>51</v>
      </c>
      <c r="C33" s="196"/>
      <c r="D33" s="217">
        <v>10000</v>
      </c>
      <c r="E33" s="217">
        <v>10000</v>
      </c>
      <c r="F33" s="198"/>
      <c r="G33" s="199">
        <f t="shared" si="2"/>
        <v>1</v>
      </c>
      <c r="H33" s="200">
        <f t="shared" si="4"/>
        <v>10000</v>
      </c>
      <c r="I33" s="200">
        <v>10000</v>
      </c>
      <c r="J33" s="206">
        <f t="shared" si="0"/>
        <v>0</v>
      </c>
      <c r="K33" s="201">
        <v>0</v>
      </c>
      <c r="M33" s="174">
        <f t="shared" si="1"/>
        <v>0</v>
      </c>
      <c r="Q33" s="203"/>
      <c r="R33" s="203"/>
    </row>
    <row r="34" spans="1:18" s="202" customFormat="1" ht="23.25">
      <c r="A34" s="204" t="s">
        <v>52</v>
      </c>
      <c r="B34" s="205" t="s">
        <v>53</v>
      </c>
      <c r="C34" s="196"/>
      <c r="D34" s="217">
        <v>8000</v>
      </c>
      <c r="E34" s="217">
        <v>8000</v>
      </c>
      <c r="F34" s="198"/>
      <c r="G34" s="199">
        <f t="shared" si="2"/>
        <v>1</v>
      </c>
      <c r="H34" s="200">
        <f t="shared" si="4"/>
        <v>8000</v>
      </c>
      <c r="I34" s="200">
        <v>8000</v>
      </c>
      <c r="J34" s="206">
        <f t="shared" si="0"/>
        <v>0</v>
      </c>
      <c r="K34" s="201">
        <v>0</v>
      </c>
      <c r="M34" s="174">
        <f t="shared" si="1"/>
        <v>0</v>
      </c>
      <c r="Q34" s="203"/>
      <c r="R34" s="203"/>
    </row>
    <row r="35" spans="1:18" s="202" customFormat="1" ht="23.25">
      <c r="A35" s="204" t="s">
        <v>54</v>
      </c>
      <c r="B35" s="205" t="s">
        <v>55</v>
      </c>
      <c r="C35" s="196"/>
      <c r="D35" s="217">
        <v>12000</v>
      </c>
      <c r="E35" s="217">
        <v>12000</v>
      </c>
      <c r="F35" s="198"/>
      <c r="G35" s="199">
        <f t="shared" si="2"/>
        <v>1</v>
      </c>
      <c r="H35" s="200">
        <f t="shared" si="4"/>
        <v>12000</v>
      </c>
      <c r="I35" s="200">
        <v>12000</v>
      </c>
      <c r="J35" s="206">
        <f t="shared" si="0"/>
        <v>0</v>
      </c>
      <c r="K35" s="201">
        <v>0</v>
      </c>
      <c r="M35" s="174">
        <f t="shared" si="1"/>
        <v>0</v>
      </c>
      <c r="Q35" s="203"/>
      <c r="R35" s="203"/>
    </row>
    <row r="36" spans="1:18" s="202" customFormat="1" ht="23.25">
      <c r="A36" s="204" t="s">
        <v>56</v>
      </c>
      <c r="B36" s="205" t="s">
        <v>57</v>
      </c>
      <c r="C36" s="196"/>
      <c r="D36" s="217">
        <v>15000</v>
      </c>
      <c r="E36" s="217">
        <v>15000</v>
      </c>
      <c r="F36" s="198"/>
      <c r="G36" s="199">
        <f t="shared" si="2"/>
        <v>1</v>
      </c>
      <c r="H36" s="200">
        <f t="shared" si="4"/>
        <v>15000</v>
      </c>
      <c r="I36" s="200">
        <v>15000</v>
      </c>
      <c r="J36" s="206">
        <f t="shared" si="0"/>
        <v>0</v>
      </c>
      <c r="K36" s="201">
        <v>0</v>
      </c>
      <c r="M36" s="174">
        <f t="shared" si="1"/>
        <v>0</v>
      </c>
      <c r="Q36" s="203"/>
      <c r="R36" s="203"/>
    </row>
    <row r="37" spans="1:18" s="202" customFormat="1" ht="23.25">
      <c r="A37" s="204" t="s">
        <v>58</v>
      </c>
      <c r="B37" s="205" t="s">
        <v>59</v>
      </c>
      <c r="C37" s="196"/>
      <c r="D37" s="217">
        <v>10000</v>
      </c>
      <c r="E37" s="217">
        <v>10000</v>
      </c>
      <c r="F37" s="198"/>
      <c r="G37" s="199">
        <f t="shared" si="2"/>
        <v>1</v>
      </c>
      <c r="H37" s="200">
        <f t="shared" si="4"/>
        <v>10000</v>
      </c>
      <c r="I37" s="200">
        <v>10000</v>
      </c>
      <c r="J37" s="206">
        <f t="shared" si="0"/>
        <v>0</v>
      </c>
      <c r="K37" s="201">
        <v>0</v>
      </c>
      <c r="M37" s="174">
        <f t="shared" si="1"/>
        <v>0</v>
      </c>
      <c r="Q37" s="203"/>
      <c r="R37" s="203"/>
    </row>
    <row r="38" spans="1:18" s="202" customFormat="1" ht="23.25">
      <c r="A38" s="218" t="s">
        <v>60</v>
      </c>
      <c r="B38" s="219" t="s">
        <v>19</v>
      </c>
      <c r="C38" s="220"/>
      <c r="D38" s="221">
        <v>16222.5</v>
      </c>
      <c r="E38" s="221">
        <v>16222.5</v>
      </c>
      <c r="F38" s="222"/>
      <c r="G38" s="223">
        <f t="shared" si="2"/>
        <v>1</v>
      </c>
      <c r="H38" s="224">
        <f t="shared" si="4"/>
        <v>16222.5</v>
      </c>
      <c r="I38" s="224">
        <v>16222.5</v>
      </c>
      <c r="J38" s="225">
        <f t="shared" si="0"/>
        <v>0</v>
      </c>
      <c r="K38" s="226">
        <v>0</v>
      </c>
      <c r="M38" s="174">
        <f t="shared" si="1"/>
        <v>0</v>
      </c>
      <c r="Q38" s="203"/>
      <c r="R38" s="203"/>
    </row>
    <row r="39" spans="1:256" s="241" customFormat="1" ht="23.25">
      <c r="A39" s="227">
        <v>2</v>
      </c>
      <c r="B39" s="228" t="s">
        <v>61</v>
      </c>
      <c r="C39" s="229">
        <v>0.2</v>
      </c>
      <c r="D39" s="230">
        <v>220360</v>
      </c>
      <c r="E39" s="230">
        <f>$E$11*C39</f>
        <v>220360</v>
      </c>
      <c r="F39" s="231"/>
      <c r="G39" s="232">
        <f t="shared" si="2"/>
        <v>1</v>
      </c>
      <c r="H39" s="233">
        <f>SUM(H40:H43)</f>
        <v>220360</v>
      </c>
      <c r="I39" s="233">
        <f>SUM(I40:I43)</f>
        <v>220360</v>
      </c>
      <c r="J39" s="232">
        <f t="shared" si="0"/>
        <v>0</v>
      </c>
      <c r="K39" s="234">
        <f>SUM(K40:K43)</f>
        <v>0</v>
      </c>
      <c r="L39" s="235"/>
      <c r="M39" s="174">
        <f t="shared" si="1"/>
        <v>0</v>
      </c>
      <c r="N39" s="236"/>
      <c r="O39" s="237"/>
      <c r="P39" s="238"/>
      <c r="Q39" s="239"/>
      <c r="R39" s="240"/>
      <c r="U39" s="240"/>
      <c r="W39" s="235"/>
      <c r="X39" s="242"/>
      <c r="Y39" s="236"/>
      <c r="Z39" s="237"/>
      <c r="AA39" s="238"/>
      <c r="AB39" s="239"/>
      <c r="AC39" s="240"/>
      <c r="AF39" s="240"/>
      <c r="AH39" s="235"/>
      <c r="AI39" s="242"/>
      <c r="AJ39" s="236"/>
      <c r="AK39" s="237"/>
      <c r="AL39" s="238"/>
      <c r="AM39" s="239"/>
      <c r="AN39" s="240"/>
      <c r="AQ39" s="240"/>
      <c r="AS39" s="235"/>
      <c r="AT39" s="242"/>
      <c r="AU39" s="236"/>
      <c r="AV39" s="237"/>
      <c r="AW39" s="238"/>
      <c r="AX39" s="239"/>
      <c r="AY39" s="240"/>
      <c r="BB39" s="240"/>
      <c r="BD39" s="235"/>
      <c r="BE39" s="242"/>
      <c r="BF39" s="236"/>
      <c r="BG39" s="237"/>
      <c r="BH39" s="238"/>
      <c r="BI39" s="239"/>
      <c r="BJ39" s="240"/>
      <c r="BM39" s="240"/>
      <c r="BO39" s="235"/>
      <c r="BP39" s="242"/>
      <c r="BQ39" s="236"/>
      <c r="BR39" s="237"/>
      <c r="BS39" s="238"/>
      <c r="BT39" s="239"/>
      <c r="BU39" s="240"/>
      <c r="BX39" s="240"/>
      <c r="BZ39" s="235"/>
      <c r="CA39" s="242"/>
      <c r="CB39" s="236"/>
      <c r="CC39" s="237"/>
      <c r="CD39" s="238"/>
      <c r="CE39" s="239"/>
      <c r="CF39" s="240"/>
      <c r="CI39" s="240"/>
      <c r="CK39" s="235"/>
      <c r="CL39" s="242"/>
      <c r="CM39" s="236"/>
      <c r="CN39" s="237"/>
      <c r="CO39" s="238"/>
      <c r="CP39" s="239"/>
      <c r="CQ39" s="240"/>
      <c r="CT39" s="240"/>
      <c r="CV39" s="235"/>
      <c r="CW39" s="242"/>
      <c r="CX39" s="236"/>
      <c r="CY39" s="237"/>
      <c r="CZ39" s="238"/>
      <c r="DA39" s="239"/>
      <c r="DB39" s="240"/>
      <c r="DE39" s="240"/>
      <c r="DG39" s="235"/>
      <c r="DH39" s="242"/>
      <c r="DI39" s="236"/>
      <c r="DJ39" s="237"/>
      <c r="DK39" s="238"/>
      <c r="DL39" s="239"/>
      <c r="DM39" s="240"/>
      <c r="DP39" s="240"/>
      <c r="DR39" s="235"/>
      <c r="DS39" s="242"/>
      <c r="DT39" s="236"/>
      <c r="DU39" s="237"/>
      <c r="DV39" s="238"/>
      <c r="DW39" s="239"/>
      <c r="DX39" s="240"/>
      <c r="EA39" s="240"/>
      <c r="EC39" s="235"/>
      <c r="ED39" s="242"/>
      <c r="EE39" s="236"/>
      <c r="EF39" s="237"/>
      <c r="EG39" s="238"/>
      <c r="EH39" s="239"/>
      <c r="EI39" s="240"/>
      <c r="EL39" s="240"/>
      <c r="EN39" s="235"/>
      <c r="EO39" s="242"/>
      <c r="EP39" s="236"/>
      <c r="EQ39" s="237"/>
      <c r="ER39" s="238"/>
      <c r="ES39" s="239"/>
      <c r="ET39" s="240"/>
      <c r="EW39" s="240"/>
      <c r="EY39" s="235"/>
      <c r="EZ39" s="242"/>
      <c r="FA39" s="236"/>
      <c r="FB39" s="237"/>
      <c r="FC39" s="238"/>
      <c r="FD39" s="239"/>
      <c r="FE39" s="240"/>
      <c r="FH39" s="240"/>
      <c r="FJ39" s="235"/>
      <c r="FK39" s="242"/>
      <c r="FL39" s="236"/>
      <c r="FM39" s="237"/>
      <c r="FN39" s="238"/>
      <c r="FO39" s="239"/>
      <c r="FP39" s="240"/>
      <c r="FS39" s="240"/>
      <c r="FU39" s="235"/>
      <c r="FV39" s="242"/>
      <c r="FW39" s="236"/>
      <c r="FX39" s="237"/>
      <c r="FY39" s="238"/>
      <c r="FZ39" s="239"/>
      <c r="GA39" s="240"/>
      <c r="GD39" s="240"/>
      <c r="GF39" s="235"/>
      <c r="GG39" s="242"/>
      <c r="GH39" s="236"/>
      <c r="GI39" s="237"/>
      <c r="GJ39" s="238"/>
      <c r="GK39" s="239"/>
      <c r="GL39" s="240"/>
      <c r="GO39" s="240"/>
      <c r="GQ39" s="235"/>
      <c r="GR39" s="242"/>
      <c r="GS39" s="236"/>
      <c r="GT39" s="237"/>
      <c r="GU39" s="238"/>
      <c r="GV39" s="239"/>
      <c r="GW39" s="240"/>
      <c r="GZ39" s="240"/>
      <c r="HB39" s="235"/>
      <c r="HC39" s="242"/>
      <c r="HD39" s="236"/>
      <c r="HE39" s="237"/>
      <c r="HF39" s="238"/>
      <c r="HG39" s="239"/>
      <c r="HH39" s="240"/>
      <c r="HK39" s="240"/>
      <c r="HM39" s="235"/>
      <c r="HN39" s="242"/>
      <c r="HO39" s="236"/>
      <c r="HP39" s="237"/>
      <c r="HQ39" s="238"/>
      <c r="HR39" s="239"/>
      <c r="HS39" s="240"/>
      <c r="HV39" s="240"/>
      <c r="HX39" s="235"/>
      <c r="HY39" s="242"/>
      <c r="HZ39" s="236"/>
      <c r="IA39" s="237"/>
      <c r="IB39" s="238"/>
      <c r="IC39" s="239"/>
      <c r="ID39" s="240"/>
      <c r="IG39" s="240"/>
      <c r="II39" s="235"/>
      <c r="IJ39" s="242"/>
      <c r="IK39" s="236"/>
      <c r="IL39" s="237"/>
      <c r="IM39" s="238"/>
      <c r="IN39" s="239"/>
      <c r="IO39" s="240"/>
      <c r="IR39" s="240"/>
      <c r="IT39" s="235"/>
      <c r="IU39" s="242"/>
      <c r="IV39" s="236"/>
    </row>
    <row r="40" spans="1:15" ht="43.5">
      <c r="A40" s="243" t="s">
        <v>62</v>
      </c>
      <c r="B40" s="244" t="s">
        <v>767</v>
      </c>
      <c r="C40" s="245">
        <v>0.25</v>
      </c>
      <c r="D40" s="246">
        <v>55090</v>
      </c>
      <c r="E40" s="246">
        <f aca="true" t="shared" si="5" ref="E40:E43">+C40*$E$39</f>
        <v>55090</v>
      </c>
      <c r="F40" s="247"/>
      <c r="G40" s="248">
        <f t="shared" si="2"/>
        <v>1</v>
      </c>
      <c r="H40" s="249">
        <f aca="true" t="shared" si="6" ref="H40:H43">I40+K40</f>
        <v>55090</v>
      </c>
      <c r="I40" s="249">
        <v>55090</v>
      </c>
      <c r="J40" s="248">
        <f t="shared" si="0"/>
        <v>0</v>
      </c>
      <c r="K40" s="250">
        <v>0</v>
      </c>
      <c r="M40" s="174">
        <f t="shared" si="1"/>
        <v>0</v>
      </c>
      <c r="O40" s="144"/>
    </row>
    <row r="41" spans="1:15" ht="43.5">
      <c r="A41" s="251" t="s">
        <v>64</v>
      </c>
      <c r="B41" s="252" t="s">
        <v>768</v>
      </c>
      <c r="C41" s="253">
        <v>0.1</v>
      </c>
      <c r="D41" s="254">
        <v>22036</v>
      </c>
      <c r="E41" s="254">
        <f t="shared" si="5"/>
        <v>22036</v>
      </c>
      <c r="F41" s="255"/>
      <c r="G41" s="256">
        <f t="shared" si="2"/>
        <v>1</v>
      </c>
      <c r="H41" s="257">
        <f t="shared" si="6"/>
        <v>22036</v>
      </c>
      <c r="I41" s="257">
        <v>22036</v>
      </c>
      <c r="J41" s="256">
        <f t="shared" si="0"/>
        <v>0</v>
      </c>
      <c r="K41" s="258">
        <v>0</v>
      </c>
      <c r="M41" s="174">
        <f t="shared" si="1"/>
        <v>0</v>
      </c>
      <c r="O41" s="144"/>
    </row>
    <row r="42" spans="1:15" ht="43.5">
      <c r="A42" s="251" t="s">
        <v>66</v>
      </c>
      <c r="B42" s="252" t="s">
        <v>769</v>
      </c>
      <c r="C42" s="253">
        <v>0.5</v>
      </c>
      <c r="D42" s="254">
        <v>110180</v>
      </c>
      <c r="E42" s="254">
        <f t="shared" si="5"/>
        <v>110180</v>
      </c>
      <c r="F42" s="255"/>
      <c r="G42" s="256">
        <f t="shared" si="2"/>
        <v>1</v>
      </c>
      <c r="H42" s="257">
        <f t="shared" si="6"/>
        <v>110180</v>
      </c>
      <c r="I42" s="257">
        <v>110180</v>
      </c>
      <c r="J42" s="256">
        <f t="shared" si="0"/>
        <v>0</v>
      </c>
      <c r="K42" s="258">
        <v>0</v>
      </c>
      <c r="M42" s="174">
        <f t="shared" si="1"/>
        <v>0</v>
      </c>
      <c r="O42" s="144"/>
    </row>
    <row r="43" spans="1:15" ht="43.5">
      <c r="A43" s="259" t="s">
        <v>68</v>
      </c>
      <c r="B43" s="260" t="s">
        <v>770</v>
      </c>
      <c r="C43" s="261">
        <v>0.15</v>
      </c>
      <c r="D43" s="262">
        <v>33054</v>
      </c>
      <c r="E43" s="262">
        <f t="shared" si="5"/>
        <v>33054</v>
      </c>
      <c r="F43" s="263"/>
      <c r="G43" s="264">
        <f t="shared" si="2"/>
        <v>1</v>
      </c>
      <c r="H43" s="265">
        <f t="shared" si="6"/>
        <v>33054</v>
      </c>
      <c r="I43" s="265">
        <v>33054</v>
      </c>
      <c r="J43" s="264">
        <f t="shared" si="0"/>
        <v>0</v>
      </c>
      <c r="K43" s="266">
        <v>0</v>
      </c>
      <c r="M43" s="174">
        <f t="shared" si="1"/>
        <v>0</v>
      </c>
      <c r="O43" s="144"/>
    </row>
    <row r="44" spans="1:15" ht="23.25">
      <c r="A44" s="227">
        <v>3</v>
      </c>
      <c r="B44" s="228" t="s">
        <v>70</v>
      </c>
      <c r="C44" s="229">
        <v>0.25</v>
      </c>
      <c r="D44" s="230">
        <v>275450</v>
      </c>
      <c r="E44" s="230">
        <f>$E$11*C44</f>
        <v>275450</v>
      </c>
      <c r="F44" s="231"/>
      <c r="G44" s="232">
        <f t="shared" si="2"/>
        <v>1</v>
      </c>
      <c r="H44" s="233">
        <f>SUM(H45:H46)</f>
        <v>275450</v>
      </c>
      <c r="I44" s="233">
        <f>SUM(I45:I46)</f>
        <v>275450</v>
      </c>
      <c r="J44" s="232">
        <f t="shared" si="0"/>
        <v>0</v>
      </c>
      <c r="K44" s="234">
        <f>SUM(K45:K46)</f>
        <v>0</v>
      </c>
      <c r="M44" s="174">
        <f t="shared" si="1"/>
        <v>0</v>
      </c>
      <c r="O44" s="144"/>
    </row>
    <row r="45" spans="1:15" ht="23.25">
      <c r="A45" s="243" t="s">
        <v>71</v>
      </c>
      <c r="B45" s="244" t="s">
        <v>72</v>
      </c>
      <c r="C45" s="245">
        <v>0.15</v>
      </c>
      <c r="D45" s="246">
        <v>41317.5</v>
      </c>
      <c r="E45" s="246">
        <f>+E44*0.15</f>
        <v>41317.5</v>
      </c>
      <c r="F45" s="247"/>
      <c r="G45" s="248">
        <f t="shared" si="2"/>
        <v>1</v>
      </c>
      <c r="H45" s="249">
        <f aca="true" t="shared" si="7" ref="H45:H46">I45+K45</f>
        <v>41317.5</v>
      </c>
      <c r="I45" s="249">
        <v>41317.5</v>
      </c>
      <c r="J45" s="248">
        <f t="shared" si="0"/>
        <v>0</v>
      </c>
      <c r="K45" s="250">
        <v>0</v>
      </c>
      <c r="M45" s="174">
        <f t="shared" si="1"/>
        <v>0</v>
      </c>
      <c r="O45" s="144"/>
    </row>
    <row r="46" spans="1:15" ht="23.25">
      <c r="A46" s="259" t="s">
        <v>73</v>
      </c>
      <c r="B46" s="260" t="s">
        <v>74</v>
      </c>
      <c r="C46" s="261">
        <v>0.85</v>
      </c>
      <c r="D46" s="262">
        <v>234132.5</v>
      </c>
      <c r="E46" s="262">
        <f>+E44*0.85</f>
        <v>234132.5</v>
      </c>
      <c r="F46" s="263"/>
      <c r="G46" s="264">
        <f t="shared" si="2"/>
        <v>1</v>
      </c>
      <c r="H46" s="265">
        <f t="shared" si="7"/>
        <v>234132.5</v>
      </c>
      <c r="I46" s="265">
        <v>234132.5</v>
      </c>
      <c r="J46" s="264">
        <f t="shared" si="0"/>
        <v>0</v>
      </c>
      <c r="K46" s="266">
        <v>0</v>
      </c>
      <c r="M46" s="174">
        <f t="shared" si="1"/>
        <v>0</v>
      </c>
      <c r="O46" s="144"/>
    </row>
    <row r="47" spans="1:256" s="241" customFormat="1" ht="23.25">
      <c r="A47" s="227">
        <v>4</v>
      </c>
      <c r="B47" s="228" t="s">
        <v>75</v>
      </c>
      <c r="C47" s="229">
        <v>0.04</v>
      </c>
      <c r="D47" s="230">
        <v>44072</v>
      </c>
      <c r="E47" s="230">
        <f aca="true" t="shared" si="8" ref="E47:E52">$E$11*C47</f>
        <v>44072</v>
      </c>
      <c r="F47" s="231"/>
      <c r="G47" s="232">
        <f t="shared" si="2"/>
        <v>0.49918315483753856</v>
      </c>
      <c r="H47" s="233">
        <f aca="true" t="shared" si="9" ref="H47:H52">+I47+K47</f>
        <v>22000</v>
      </c>
      <c r="I47" s="233">
        <v>22000</v>
      </c>
      <c r="J47" s="267">
        <f t="shared" si="0"/>
        <v>0</v>
      </c>
      <c r="K47" s="234">
        <v>0</v>
      </c>
      <c r="L47" s="235"/>
      <c r="M47" s="174">
        <f t="shared" si="1"/>
        <v>0</v>
      </c>
      <c r="N47" s="236"/>
      <c r="O47" s="237"/>
      <c r="P47" s="238"/>
      <c r="Q47" s="239"/>
      <c r="R47" s="240"/>
      <c r="U47" s="240"/>
      <c r="W47" s="235"/>
      <c r="X47" s="242"/>
      <c r="Y47" s="236"/>
      <c r="Z47" s="237"/>
      <c r="AA47" s="238"/>
      <c r="AB47" s="239"/>
      <c r="AC47" s="240"/>
      <c r="AF47" s="240"/>
      <c r="AH47" s="235"/>
      <c r="AI47" s="242"/>
      <c r="AJ47" s="236"/>
      <c r="AK47" s="237"/>
      <c r="AL47" s="238"/>
      <c r="AM47" s="239"/>
      <c r="AN47" s="240"/>
      <c r="AQ47" s="240"/>
      <c r="AS47" s="235"/>
      <c r="AT47" s="242"/>
      <c r="AU47" s="236"/>
      <c r="AV47" s="237"/>
      <c r="AW47" s="238"/>
      <c r="AX47" s="239"/>
      <c r="AY47" s="240"/>
      <c r="BB47" s="240"/>
      <c r="BD47" s="235"/>
      <c r="BE47" s="242"/>
      <c r="BF47" s="236"/>
      <c r="BG47" s="237"/>
      <c r="BH47" s="238"/>
      <c r="BI47" s="239"/>
      <c r="BJ47" s="240"/>
      <c r="BM47" s="240"/>
      <c r="BO47" s="235"/>
      <c r="BP47" s="242"/>
      <c r="BQ47" s="236"/>
      <c r="BR47" s="237"/>
      <c r="BS47" s="238"/>
      <c r="BT47" s="239"/>
      <c r="BU47" s="240"/>
      <c r="BX47" s="240"/>
      <c r="BZ47" s="235"/>
      <c r="CA47" s="242"/>
      <c r="CB47" s="236"/>
      <c r="CC47" s="237"/>
      <c r="CD47" s="238"/>
      <c r="CE47" s="239"/>
      <c r="CF47" s="240"/>
      <c r="CI47" s="240"/>
      <c r="CK47" s="235"/>
      <c r="CL47" s="242"/>
      <c r="CM47" s="236"/>
      <c r="CN47" s="237"/>
      <c r="CO47" s="238"/>
      <c r="CP47" s="239"/>
      <c r="CQ47" s="240"/>
      <c r="CT47" s="240"/>
      <c r="CV47" s="235"/>
      <c r="CW47" s="242"/>
      <c r="CX47" s="236"/>
      <c r="CY47" s="237"/>
      <c r="CZ47" s="238"/>
      <c r="DA47" s="239"/>
      <c r="DB47" s="240"/>
      <c r="DE47" s="240"/>
      <c r="DG47" s="235"/>
      <c r="DH47" s="242"/>
      <c r="DI47" s="236"/>
      <c r="DJ47" s="237"/>
      <c r="DK47" s="238"/>
      <c r="DL47" s="239"/>
      <c r="DM47" s="240"/>
      <c r="DP47" s="240"/>
      <c r="DR47" s="235"/>
      <c r="DS47" s="242"/>
      <c r="DT47" s="236"/>
      <c r="DU47" s="237"/>
      <c r="DV47" s="238"/>
      <c r="DW47" s="239"/>
      <c r="DX47" s="240"/>
      <c r="EA47" s="240"/>
      <c r="EC47" s="235"/>
      <c r="ED47" s="242"/>
      <c r="EE47" s="236"/>
      <c r="EF47" s="237"/>
      <c r="EG47" s="238"/>
      <c r="EH47" s="239"/>
      <c r="EI47" s="240"/>
      <c r="EL47" s="240"/>
      <c r="EN47" s="235"/>
      <c r="EO47" s="242"/>
      <c r="EP47" s="236"/>
      <c r="EQ47" s="237"/>
      <c r="ER47" s="238"/>
      <c r="ES47" s="239"/>
      <c r="ET47" s="240"/>
      <c r="EW47" s="240"/>
      <c r="EY47" s="235"/>
      <c r="EZ47" s="242"/>
      <c r="FA47" s="236"/>
      <c r="FB47" s="237"/>
      <c r="FC47" s="238"/>
      <c r="FD47" s="239"/>
      <c r="FE47" s="240"/>
      <c r="FH47" s="240"/>
      <c r="FJ47" s="235"/>
      <c r="FK47" s="242"/>
      <c r="FL47" s="236"/>
      <c r="FM47" s="237"/>
      <c r="FN47" s="238"/>
      <c r="FO47" s="239"/>
      <c r="FP47" s="240"/>
      <c r="FS47" s="240"/>
      <c r="FU47" s="235"/>
      <c r="FV47" s="242"/>
      <c r="FW47" s="236"/>
      <c r="FX47" s="237"/>
      <c r="FY47" s="238"/>
      <c r="FZ47" s="239"/>
      <c r="GA47" s="240"/>
      <c r="GD47" s="240"/>
      <c r="GF47" s="235"/>
      <c r="GG47" s="242"/>
      <c r="GH47" s="236"/>
      <c r="GI47" s="237"/>
      <c r="GJ47" s="238"/>
      <c r="GK47" s="239"/>
      <c r="GL47" s="240"/>
      <c r="GO47" s="240"/>
      <c r="GQ47" s="235"/>
      <c r="GR47" s="242"/>
      <c r="GS47" s="236"/>
      <c r="GT47" s="237"/>
      <c r="GU47" s="238"/>
      <c r="GV47" s="239"/>
      <c r="GW47" s="240"/>
      <c r="GZ47" s="240"/>
      <c r="HB47" s="235"/>
      <c r="HC47" s="242"/>
      <c r="HD47" s="236"/>
      <c r="HE47" s="237"/>
      <c r="HF47" s="238"/>
      <c r="HG47" s="239"/>
      <c r="HH47" s="240"/>
      <c r="HK47" s="240"/>
      <c r="HM47" s="235"/>
      <c r="HN47" s="242"/>
      <c r="HO47" s="236"/>
      <c r="HP47" s="237"/>
      <c r="HQ47" s="238"/>
      <c r="HR47" s="239"/>
      <c r="HS47" s="240"/>
      <c r="HV47" s="240"/>
      <c r="HX47" s="235"/>
      <c r="HY47" s="242"/>
      <c r="HZ47" s="236"/>
      <c r="IA47" s="237"/>
      <c r="IB47" s="238"/>
      <c r="IC47" s="239"/>
      <c r="ID47" s="240"/>
      <c r="IG47" s="240"/>
      <c r="II47" s="235"/>
      <c r="IJ47" s="242"/>
      <c r="IK47" s="236"/>
      <c r="IL47" s="237"/>
      <c r="IM47" s="238"/>
      <c r="IN47" s="239"/>
      <c r="IO47" s="240"/>
      <c r="IR47" s="240"/>
      <c r="IT47" s="235"/>
      <c r="IU47" s="242"/>
      <c r="IV47" s="236"/>
    </row>
    <row r="48" spans="1:15" ht="23.25">
      <c r="A48" s="227">
        <v>5</v>
      </c>
      <c r="B48" s="228" t="s">
        <v>76</v>
      </c>
      <c r="C48" s="229">
        <v>0.04</v>
      </c>
      <c r="D48" s="230">
        <v>44072</v>
      </c>
      <c r="E48" s="230">
        <f t="shared" si="8"/>
        <v>44072</v>
      </c>
      <c r="F48" s="231"/>
      <c r="G48" s="232">
        <f t="shared" si="2"/>
        <v>1</v>
      </c>
      <c r="H48" s="233">
        <f t="shared" si="9"/>
        <v>44072</v>
      </c>
      <c r="I48" s="233">
        <v>44072</v>
      </c>
      <c r="J48" s="232">
        <f t="shared" si="0"/>
        <v>0</v>
      </c>
      <c r="K48" s="234">
        <v>0</v>
      </c>
      <c r="M48" s="174">
        <f t="shared" si="1"/>
        <v>0</v>
      </c>
      <c r="O48" s="144"/>
    </row>
    <row r="49" spans="1:15" ht="43.5">
      <c r="A49" s="227">
        <v>6</v>
      </c>
      <c r="B49" s="228" t="s">
        <v>77</v>
      </c>
      <c r="C49" s="229">
        <v>0.04</v>
      </c>
      <c r="D49" s="230">
        <v>44072</v>
      </c>
      <c r="E49" s="230">
        <f t="shared" si="8"/>
        <v>44072</v>
      </c>
      <c r="F49" s="231"/>
      <c r="G49" s="232">
        <f t="shared" si="2"/>
        <v>0</v>
      </c>
      <c r="H49" s="233">
        <f t="shared" si="9"/>
        <v>0</v>
      </c>
      <c r="I49" s="233">
        <v>0</v>
      </c>
      <c r="J49" s="232">
        <f t="shared" si="0"/>
        <v>0</v>
      </c>
      <c r="K49" s="234">
        <v>0</v>
      </c>
      <c r="M49" s="174">
        <f t="shared" si="1"/>
        <v>0</v>
      </c>
      <c r="O49" s="144"/>
    </row>
    <row r="50" spans="1:15" ht="43.5">
      <c r="A50" s="227">
        <v>7</v>
      </c>
      <c r="B50" s="228" t="s">
        <v>78</v>
      </c>
      <c r="C50" s="229">
        <v>0.04</v>
      </c>
      <c r="D50" s="230">
        <v>44072</v>
      </c>
      <c r="E50" s="230">
        <f t="shared" si="8"/>
        <v>44072</v>
      </c>
      <c r="F50" s="231"/>
      <c r="G50" s="232">
        <f t="shared" si="2"/>
        <v>0</v>
      </c>
      <c r="H50" s="233">
        <f t="shared" si="9"/>
        <v>0</v>
      </c>
      <c r="I50" s="233">
        <v>0</v>
      </c>
      <c r="J50" s="232">
        <f t="shared" si="0"/>
        <v>0</v>
      </c>
      <c r="K50" s="234">
        <v>0</v>
      </c>
      <c r="M50" s="174">
        <f t="shared" si="1"/>
        <v>0</v>
      </c>
      <c r="O50" s="144"/>
    </row>
    <row r="51" spans="1:15" ht="23.25">
      <c r="A51" s="227">
        <v>8</v>
      </c>
      <c r="B51" s="228" t="s">
        <v>79</v>
      </c>
      <c r="C51" s="229">
        <v>0.02</v>
      </c>
      <c r="D51" s="230">
        <v>22036</v>
      </c>
      <c r="E51" s="230">
        <f t="shared" si="8"/>
        <v>22036</v>
      </c>
      <c r="F51" s="231"/>
      <c r="G51" s="232">
        <f t="shared" si="2"/>
        <v>0</v>
      </c>
      <c r="H51" s="233">
        <f t="shared" si="9"/>
        <v>0</v>
      </c>
      <c r="I51" s="233">
        <v>0</v>
      </c>
      <c r="J51" s="232">
        <f t="shared" si="0"/>
        <v>0</v>
      </c>
      <c r="K51" s="234">
        <v>0</v>
      </c>
      <c r="M51" s="174">
        <f t="shared" si="1"/>
        <v>0</v>
      </c>
      <c r="O51" s="144"/>
    </row>
    <row r="52" spans="1:15" ht="43.5">
      <c r="A52" s="227">
        <v>9</v>
      </c>
      <c r="B52" s="228" t="s">
        <v>80</v>
      </c>
      <c r="C52" s="229">
        <v>0.02</v>
      </c>
      <c r="D52" s="230">
        <v>22036</v>
      </c>
      <c r="E52" s="230">
        <f t="shared" si="8"/>
        <v>22036</v>
      </c>
      <c r="F52" s="231"/>
      <c r="G52" s="232">
        <f t="shared" si="2"/>
        <v>0.5</v>
      </c>
      <c r="H52" s="233">
        <f t="shared" si="9"/>
        <v>11018</v>
      </c>
      <c r="I52" s="233">
        <v>11018</v>
      </c>
      <c r="J52" s="267">
        <f t="shared" si="0"/>
        <v>0</v>
      </c>
      <c r="K52" s="234">
        <v>0</v>
      </c>
      <c r="M52" s="174">
        <f t="shared" si="1"/>
        <v>0</v>
      </c>
      <c r="O52" s="144"/>
    </row>
    <row r="53" spans="1:15" ht="23.25">
      <c r="A53" s="268" t="s">
        <v>81</v>
      </c>
      <c r="B53" s="269" t="s">
        <v>82</v>
      </c>
      <c r="C53" s="268" t="s">
        <v>83</v>
      </c>
      <c r="D53" s="270">
        <v>7279750</v>
      </c>
      <c r="E53" s="270">
        <f>$K$8*18.5%</f>
        <v>7279750</v>
      </c>
      <c r="F53" s="271">
        <f>E54+F78+F97+F164</f>
        <v>14719653.000000004</v>
      </c>
      <c r="G53" s="272">
        <f>+H53/E53</f>
        <v>0.999999999362223</v>
      </c>
      <c r="H53" s="273">
        <f>+H54+H78+H97+H164</f>
        <v>7279749.995357143</v>
      </c>
      <c r="I53" s="273">
        <f>+I54+I78+I97+I164</f>
        <v>7255749.995357143</v>
      </c>
      <c r="J53" s="272">
        <f t="shared" si="0"/>
        <v>0.0032968165115560286</v>
      </c>
      <c r="K53" s="274">
        <f>+K54+K78+K97+K164</f>
        <v>24000</v>
      </c>
      <c r="M53" s="174">
        <f t="shared" si="1"/>
        <v>24000</v>
      </c>
      <c r="O53" s="144"/>
    </row>
    <row r="54" spans="1:18" s="144" customFormat="1" ht="48" customHeight="1">
      <c r="A54" s="275">
        <v>1</v>
      </c>
      <c r="B54" s="276" t="s">
        <v>84</v>
      </c>
      <c r="C54" s="277">
        <v>0.05</v>
      </c>
      <c r="D54" s="278">
        <v>363987.5</v>
      </c>
      <c r="E54" s="278">
        <f>$E$53*C54</f>
        <v>363987.5</v>
      </c>
      <c r="F54" s="279"/>
      <c r="G54" s="267">
        <f aca="true" t="shared" si="10" ref="G54:G172">H54/E54</f>
        <v>1.0000000068683677</v>
      </c>
      <c r="H54" s="233">
        <f aca="true" t="shared" si="11" ref="H54:H77">+I54+K54</f>
        <v>363987.5025</v>
      </c>
      <c r="I54" s="233">
        <f>SUM(I55:I77)</f>
        <v>363987.5025</v>
      </c>
      <c r="J54" s="267">
        <f t="shared" si="0"/>
        <v>0</v>
      </c>
      <c r="K54" s="234">
        <f>SUM(K55:K77)</f>
        <v>0</v>
      </c>
      <c r="M54" s="174">
        <f t="shared" si="1"/>
        <v>0</v>
      </c>
      <c r="Q54" s="280"/>
      <c r="R54" s="280"/>
    </row>
    <row r="55" spans="1:20" s="144" customFormat="1" ht="34.5" customHeight="1">
      <c r="A55" s="281" t="s">
        <v>10</v>
      </c>
      <c r="B55" s="282" t="s">
        <v>771</v>
      </c>
      <c r="C55" s="283">
        <f>E55/E54</f>
        <v>0.18801191362620998</v>
      </c>
      <c r="D55" s="284"/>
      <c r="E55" s="284">
        <v>68433.9864110201</v>
      </c>
      <c r="F55" s="285"/>
      <c r="G55" s="286">
        <f t="shared" si="10"/>
        <v>1</v>
      </c>
      <c r="H55" s="287">
        <f t="shared" si="11"/>
        <v>68433.9864110201</v>
      </c>
      <c r="I55" s="287">
        <f aca="true" t="shared" si="12" ref="I55:I73">+E55</f>
        <v>68433.9864110201</v>
      </c>
      <c r="J55" s="288">
        <f t="shared" si="0"/>
        <v>0</v>
      </c>
      <c r="K55" s="289">
        <v>0</v>
      </c>
      <c r="M55" s="174">
        <f t="shared" si="1"/>
        <v>0</v>
      </c>
      <c r="Q55" s="290"/>
      <c r="R55" s="291"/>
      <c r="T55" s="292"/>
    </row>
    <row r="56" spans="1:20" s="144" customFormat="1" ht="34.5" customHeight="1">
      <c r="A56" s="281" t="s">
        <v>20</v>
      </c>
      <c r="B56" s="282" t="s">
        <v>772</v>
      </c>
      <c r="C56" s="283">
        <f>E56/E54</f>
        <v>0.2030202903946389</v>
      </c>
      <c r="D56" s="284"/>
      <c r="E56" s="284">
        <v>73896.84795001862</v>
      </c>
      <c r="F56" s="285"/>
      <c r="G56" s="286">
        <f t="shared" si="10"/>
        <v>1</v>
      </c>
      <c r="H56" s="287">
        <f t="shared" si="11"/>
        <v>73896.84795001862</v>
      </c>
      <c r="I56" s="287">
        <f t="shared" si="12"/>
        <v>73896.84795001862</v>
      </c>
      <c r="J56" s="288">
        <f t="shared" si="0"/>
        <v>0</v>
      </c>
      <c r="K56" s="289">
        <v>0</v>
      </c>
      <c r="M56" s="174">
        <f t="shared" si="1"/>
        <v>0</v>
      </c>
      <c r="Q56" s="290"/>
      <c r="R56" s="291"/>
      <c r="T56" s="292"/>
    </row>
    <row r="57" spans="1:20" s="144" customFormat="1" ht="34.5" customHeight="1">
      <c r="A57" s="281" t="s">
        <v>87</v>
      </c>
      <c r="B57" s="282" t="s">
        <v>773</v>
      </c>
      <c r="C57" s="283">
        <f>E57/E54</f>
        <v>0.013612248696947136</v>
      </c>
      <c r="D57" s="284"/>
      <c r="E57" s="284">
        <v>4954.688372580045</v>
      </c>
      <c r="F57" s="285"/>
      <c r="G57" s="286">
        <f t="shared" si="10"/>
        <v>1</v>
      </c>
      <c r="H57" s="287">
        <f t="shared" si="11"/>
        <v>4954.688372580045</v>
      </c>
      <c r="I57" s="287">
        <f t="shared" si="12"/>
        <v>4954.688372580045</v>
      </c>
      <c r="J57" s="288">
        <f t="shared" si="0"/>
        <v>0</v>
      </c>
      <c r="K57" s="289">
        <v>0</v>
      </c>
      <c r="M57" s="174">
        <f t="shared" si="1"/>
        <v>0</v>
      </c>
      <c r="Q57" s="290"/>
      <c r="R57" s="291"/>
      <c r="T57" s="292"/>
    </row>
    <row r="58" spans="1:20" s="144" customFormat="1" ht="34.5" customHeight="1">
      <c r="A58" s="281" t="s">
        <v>89</v>
      </c>
      <c r="B58" s="282" t="s">
        <v>774</v>
      </c>
      <c r="C58" s="283">
        <f>E58/E54</f>
        <v>0.002734084139985108</v>
      </c>
      <c r="D58" s="284"/>
      <c r="E58" s="284">
        <v>995.1724509028295</v>
      </c>
      <c r="F58" s="285"/>
      <c r="G58" s="286">
        <f t="shared" si="10"/>
        <v>1</v>
      </c>
      <c r="H58" s="287">
        <f t="shared" si="11"/>
        <v>995.1724509028295</v>
      </c>
      <c r="I58" s="287">
        <f t="shared" si="12"/>
        <v>995.1724509028295</v>
      </c>
      <c r="J58" s="288">
        <f t="shared" si="0"/>
        <v>0</v>
      </c>
      <c r="K58" s="289">
        <v>0</v>
      </c>
      <c r="M58" s="174">
        <f t="shared" si="1"/>
        <v>0</v>
      </c>
      <c r="Q58" s="290"/>
      <c r="R58" s="291"/>
      <c r="T58" s="292"/>
    </row>
    <row r="59" spans="1:20" s="144" customFormat="1" ht="34.5" customHeight="1">
      <c r="A59" s="281" t="s">
        <v>91</v>
      </c>
      <c r="B59" s="282" t="s">
        <v>775</v>
      </c>
      <c r="C59" s="283">
        <f>E59/E54</f>
        <v>0.00488644825018615</v>
      </c>
      <c r="D59" s="284"/>
      <c r="E59" s="284">
        <v>1778.6060824646313</v>
      </c>
      <c r="F59" s="285"/>
      <c r="G59" s="286">
        <f t="shared" si="10"/>
        <v>1</v>
      </c>
      <c r="H59" s="287">
        <f t="shared" si="11"/>
        <v>1778.6060824646313</v>
      </c>
      <c r="I59" s="287">
        <f t="shared" si="12"/>
        <v>1778.6060824646313</v>
      </c>
      <c r="J59" s="288">
        <f t="shared" si="0"/>
        <v>0</v>
      </c>
      <c r="K59" s="289">
        <v>0</v>
      </c>
      <c r="M59" s="174">
        <f t="shared" si="1"/>
        <v>0</v>
      </c>
      <c r="Q59" s="290"/>
      <c r="R59" s="291"/>
      <c r="T59" s="292"/>
    </row>
    <row r="60" spans="1:20" s="144" customFormat="1" ht="34.5" customHeight="1">
      <c r="A60" s="281" t="s">
        <v>93</v>
      </c>
      <c r="B60" s="282" t="s">
        <v>776</v>
      </c>
      <c r="C60" s="283">
        <f>E60/E54</f>
        <v>0.003490320178704393</v>
      </c>
      <c r="D60" s="284"/>
      <c r="E60" s="284">
        <v>1270.4329160461652</v>
      </c>
      <c r="F60" s="285"/>
      <c r="G60" s="286">
        <f t="shared" si="10"/>
        <v>1</v>
      </c>
      <c r="H60" s="287">
        <f t="shared" si="11"/>
        <v>1270.4329160461652</v>
      </c>
      <c r="I60" s="287">
        <f t="shared" si="12"/>
        <v>1270.4329160461652</v>
      </c>
      <c r="J60" s="288">
        <f t="shared" si="0"/>
        <v>0</v>
      </c>
      <c r="K60" s="289">
        <v>0</v>
      </c>
      <c r="M60" s="174">
        <f t="shared" si="1"/>
        <v>0</v>
      </c>
      <c r="Q60" s="290"/>
      <c r="R60" s="291"/>
      <c r="T60" s="292"/>
    </row>
    <row r="61" spans="1:20" s="144" customFormat="1" ht="34.5" customHeight="1">
      <c r="A61" s="281" t="s">
        <v>95</v>
      </c>
      <c r="B61" s="282" t="s">
        <v>777</v>
      </c>
      <c r="C61" s="283">
        <f>E61/E54</f>
        <v>0.0319946016381236</v>
      </c>
      <c r="D61" s="284"/>
      <c r="E61" s="284">
        <v>11645.635063756514</v>
      </c>
      <c r="F61" s="285"/>
      <c r="G61" s="286">
        <f t="shared" si="10"/>
        <v>1</v>
      </c>
      <c r="H61" s="287">
        <f t="shared" si="11"/>
        <v>11645.635063756514</v>
      </c>
      <c r="I61" s="287">
        <f t="shared" si="12"/>
        <v>11645.635063756514</v>
      </c>
      <c r="J61" s="288">
        <f t="shared" si="0"/>
        <v>0</v>
      </c>
      <c r="K61" s="289">
        <v>0</v>
      </c>
      <c r="M61" s="174">
        <f t="shared" si="1"/>
        <v>0</v>
      </c>
      <c r="Q61" s="290"/>
      <c r="R61" s="291"/>
      <c r="T61" s="292"/>
    </row>
    <row r="62" spans="1:20" s="144" customFormat="1" ht="34.5" customHeight="1">
      <c r="A62" s="281" t="s">
        <v>97</v>
      </c>
      <c r="B62" s="282" t="s">
        <v>778</v>
      </c>
      <c r="C62" s="283">
        <f>E62/E54</f>
        <v>0.041302122114668646</v>
      </c>
      <c r="D62" s="284"/>
      <c r="E62" s="284">
        <v>15033.456173212953</v>
      </c>
      <c r="F62" s="285"/>
      <c r="G62" s="286">
        <f t="shared" si="10"/>
        <v>1</v>
      </c>
      <c r="H62" s="287">
        <f t="shared" si="11"/>
        <v>15033.456173212953</v>
      </c>
      <c r="I62" s="287">
        <f t="shared" si="12"/>
        <v>15033.456173212953</v>
      </c>
      <c r="J62" s="288">
        <f t="shared" si="0"/>
        <v>0</v>
      </c>
      <c r="K62" s="289">
        <v>0</v>
      </c>
      <c r="M62" s="174">
        <f t="shared" si="1"/>
        <v>0</v>
      </c>
      <c r="Q62" s="290"/>
      <c r="R62" s="291"/>
      <c r="T62" s="292"/>
    </row>
    <row r="63" spans="1:20" s="144" customFormat="1" ht="34.5" customHeight="1">
      <c r="A63" s="281" t="s">
        <v>99</v>
      </c>
      <c r="B63" s="282" t="s">
        <v>779</v>
      </c>
      <c r="C63" s="283">
        <f>E63/E54</f>
        <v>0.310638495904691</v>
      </c>
      <c r="D63" s="284"/>
      <c r="E63" s="284">
        <v>113068.52952810872</v>
      </c>
      <c r="F63" s="285"/>
      <c r="G63" s="286">
        <f t="shared" si="10"/>
        <v>1</v>
      </c>
      <c r="H63" s="287">
        <f t="shared" si="11"/>
        <v>113068.52952810872</v>
      </c>
      <c r="I63" s="287">
        <f t="shared" si="12"/>
        <v>113068.52952810872</v>
      </c>
      <c r="J63" s="288">
        <f t="shared" si="0"/>
        <v>0</v>
      </c>
      <c r="K63" s="289">
        <v>0</v>
      </c>
      <c r="M63" s="174">
        <f t="shared" si="1"/>
        <v>0</v>
      </c>
      <c r="Q63" s="290"/>
      <c r="R63" s="291"/>
      <c r="T63" s="292"/>
    </row>
    <row r="64" spans="1:20" s="144" customFormat="1" ht="34.5" customHeight="1">
      <c r="A64" s="281" t="s">
        <v>101</v>
      </c>
      <c r="B64" s="282" t="s">
        <v>102</v>
      </c>
      <c r="C64" s="283">
        <f>E64/E54</f>
        <v>0.005817200297840656</v>
      </c>
      <c r="D64" s="284"/>
      <c r="E64" s="284">
        <v>2117.3881934102756</v>
      </c>
      <c r="F64" s="285"/>
      <c r="G64" s="286">
        <f t="shared" si="10"/>
        <v>1</v>
      </c>
      <c r="H64" s="287">
        <f t="shared" si="11"/>
        <v>2117.3881934102756</v>
      </c>
      <c r="I64" s="287">
        <f t="shared" si="12"/>
        <v>2117.3881934102756</v>
      </c>
      <c r="J64" s="288">
        <f t="shared" si="0"/>
        <v>0</v>
      </c>
      <c r="K64" s="289">
        <v>0</v>
      </c>
      <c r="M64" s="174">
        <f t="shared" si="1"/>
        <v>0</v>
      </c>
      <c r="Q64" s="290"/>
      <c r="R64" s="291"/>
      <c r="T64" s="292"/>
    </row>
    <row r="65" spans="1:20" s="144" customFormat="1" ht="34.5" customHeight="1">
      <c r="A65" s="281" t="s">
        <v>103</v>
      </c>
      <c r="B65" s="282" t="s">
        <v>104</v>
      </c>
      <c r="C65" s="283">
        <f>E65/E54</f>
        <v>0.0017451600893521966</v>
      </c>
      <c r="D65" s="284"/>
      <c r="E65" s="284">
        <v>635.2164580230826</v>
      </c>
      <c r="F65" s="285"/>
      <c r="G65" s="286">
        <f t="shared" si="10"/>
        <v>1</v>
      </c>
      <c r="H65" s="287">
        <f t="shared" si="11"/>
        <v>635.2164580230826</v>
      </c>
      <c r="I65" s="287">
        <f t="shared" si="12"/>
        <v>635.2164580230826</v>
      </c>
      <c r="J65" s="288">
        <f t="shared" si="0"/>
        <v>0</v>
      </c>
      <c r="K65" s="289">
        <v>0</v>
      </c>
      <c r="M65" s="174">
        <f t="shared" si="1"/>
        <v>0</v>
      </c>
      <c r="Q65" s="290"/>
      <c r="R65" s="291"/>
      <c r="T65" s="292"/>
    </row>
    <row r="66" spans="1:20" s="144" customFormat="1" ht="34.5" customHeight="1">
      <c r="A66" s="281" t="s">
        <v>105</v>
      </c>
      <c r="B66" s="282" t="s">
        <v>106</v>
      </c>
      <c r="C66" s="283">
        <f>E66/E54</f>
        <v>0.034088793745346235</v>
      </c>
      <c r="D66" s="284"/>
      <c r="E66" s="284">
        <v>12407.894813384213</v>
      </c>
      <c r="F66" s="285"/>
      <c r="G66" s="286">
        <f t="shared" si="10"/>
        <v>1</v>
      </c>
      <c r="H66" s="287">
        <f t="shared" si="11"/>
        <v>12407.894813384213</v>
      </c>
      <c r="I66" s="287">
        <f t="shared" si="12"/>
        <v>12407.894813384213</v>
      </c>
      <c r="J66" s="288">
        <f t="shared" si="0"/>
        <v>0</v>
      </c>
      <c r="K66" s="289">
        <v>0</v>
      </c>
      <c r="M66" s="174">
        <f t="shared" si="1"/>
        <v>0</v>
      </c>
      <c r="Q66" s="290"/>
      <c r="R66" s="291"/>
      <c r="T66" s="292"/>
    </row>
    <row r="67" spans="1:20" s="144" customFormat="1" ht="34.5" customHeight="1">
      <c r="A67" s="281" t="s">
        <v>107</v>
      </c>
      <c r="B67" s="282" t="s">
        <v>108</v>
      </c>
      <c r="C67" s="283">
        <f>E67/E54</f>
        <v>0.006631608339538347</v>
      </c>
      <c r="D67" s="284"/>
      <c r="E67" s="284">
        <v>2413.822540487714</v>
      </c>
      <c r="F67" s="285"/>
      <c r="G67" s="286">
        <f t="shared" si="10"/>
        <v>1</v>
      </c>
      <c r="H67" s="287">
        <f t="shared" si="11"/>
        <v>2413.822540487714</v>
      </c>
      <c r="I67" s="287">
        <f t="shared" si="12"/>
        <v>2413.822540487714</v>
      </c>
      <c r="J67" s="288">
        <f t="shared" si="0"/>
        <v>0</v>
      </c>
      <c r="K67" s="289">
        <v>0</v>
      </c>
      <c r="M67" s="174">
        <f t="shared" si="1"/>
        <v>0</v>
      </c>
      <c r="Q67" s="290"/>
      <c r="R67" s="291"/>
      <c r="T67" s="292"/>
    </row>
    <row r="68" spans="1:20" s="144" customFormat="1" ht="34.5" customHeight="1">
      <c r="A68" s="281" t="s">
        <v>109</v>
      </c>
      <c r="B68" s="282" t="s">
        <v>110</v>
      </c>
      <c r="C68" s="283">
        <f>E68/E54</f>
        <v>0.011634400595681311</v>
      </c>
      <c r="D68" s="284"/>
      <c r="E68" s="284">
        <v>4234.776386820551</v>
      </c>
      <c r="F68" s="285"/>
      <c r="G68" s="286">
        <f t="shared" si="10"/>
        <v>1</v>
      </c>
      <c r="H68" s="287">
        <f t="shared" si="11"/>
        <v>4234.776386820551</v>
      </c>
      <c r="I68" s="287">
        <f t="shared" si="12"/>
        <v>4234.776386820551</v>
      </c>
      <c r="J68" s="288">
        <f t="shared" si="0"/>
        <v>0</v>
      </c>
      <c r="K68" s="289">
        <v>0</v>
      </c>
      <c r="M68" s="174">
        <f t="shared" si="1"/>
        <v>0</v>
      </c>
      <c r="Q68" s="290"/>
      <c r="R68" s="291"/>
      <c r="T68" s="292"/>
    </row>
    <row r="69" spans="1:20" s="144" customFormat="1" ht="34.5" customHeight="1">
      <c r="A69" s="281" t="s">
        <v>111</v>
      </c>
      <c r="B69" s="282" t="s">
        <v>112</v>
      </c>
      <c r="C69" s="283">
        <f>E69/E54</f>
        <v>0.00168698808637379</v>
      </c>
      <c r="D69" s="284"/>
      <c r="E69" s="284">
        <v>614.0425760889799</v>
      </c>
      <c r="F69" s="285"/>
      <c r="G69" s="286">
        <f t="shared" si="10"/>
        <v>1</v>
      </c>
      <c r="H69" s="287">
        <f t="shared" si="11"/>
        <v>614.0425760889799</v>
      </c>
      <c r="I69" s="287">
        <f t="shared" si="12"/>
        <v>614.0425760889799</v>
      </c>
      <c r="J69" s="288">
        <f t="shared" si="0"/>
        <v>0</v>
      </c>
      <c r="K69" s="289">
        <v>0</v>
      </c>
      <c r="M69" s="174">
        <f t="shared" si="1"/>
        <v>0</v>
      </c>
      <c r="Q69" s="290"/>
      <c r="R69" s="291"/>
      <c r="T69" s="292"/>
    </row>
    <row r="70" spans="1:20" s="144" customFormat="1" ht="34.5" customHeight="1">
      <c r="A70" s="281" t="s">
        <v>113</v>
      </c>
      <c r="B70" s="282" t="s">
        <v>114</v>
      </c>
      <c r="C70" s="283">
        <f>E70/E54</f>
        <v>0.0032576321667907673</v>
      </c>
      <c r="D70" s="284"/>
      <c r="E70" s="284">
        <v>1185.7373883097544</v>
      </c>
      <c r="F70" s="285"/>
      <c r="G70" s="286">
        <f t="shared" si="10"/>
        <v>1</v>
      </c>
      <c r="H70" s="287">
        <f t="shared" si="11"/>
        <v>1185.7373883097544</v>
      </c>
      <c r="I70" s="287">
        <f t="shared" si="12"/>
        <v>1185.7373883097544</v>
      </c>
      <c r="J70" s="288">
        <f t="shared" si="0"/>
        <v>0</v>
      </c>
      <c r="K70" s="289">
        <v>0</v>
      </c>
      <c r="M70" s="174">
        <f t="shared" si="1"/>
        <v>0</v>
      </c>
      <c r="Q70" s="290"/>
      <c r="R70" s="291"/>
      <c r="T70" s="292"/>
    </row>
    <row r="71" spans="1:20" s="144" customFormat="1" ht="34.5" customHeight="1">
      <c r="A71" s="281" t="s">
        <v>115</v>
      </c>
      <c r="B71" s="282" t="s">
        <v>116</v>
      </c>
      <c r="C71" s="283">
        <f>E71/E54</f>
        <v>0.0035601265822784813</v>
      </c>
      <c r="D71" s="284"/>
      <c r="E71" s="284">
        <v>1295.8415743670887</v>
      </c>
      <c r="F71" s="285"/>
      <c r="G71" s="286">
        <f t="shared" si="10"/>
        <v>1</v>
      </c>
      <c r="H71" s="287">
        <f t="shared" si="11"/>
        <v>1295.8415743670887</v>
      </c>
      <c r="I71" s="287">
        <f t="shared" si="12"/>
        <v>1295.8415743670887</v>
      </c>
      <c r="J71" s="288">
        <f t="shared" si="0"/>
        <v>0</v>
      </c>
      <c r="K71" s="289">
        <v>0</v>
      </c>
      <c r="M71" s="174">
        <f t="shared" si="1"/>
        <v>0</v>
      </c>
      <c r="Q71" s="290"/>
      <c r="R71" s="291"/>
      <c r="T71" s="292"/>
    </row>
    <row r="72" spans="1:20" s="144" customFormat="1" ht="34.5" customHeight="1">
      <c r="A72" s="281" t="s">
        <v>117</v>
      </c>
      <c r="B72" s="282" t="s">
        <v>118</v>
      </c>
      <c r="C72" s="283">
        <f>E72/E54</f>
        <v>0.006631608339538347</v>
      </c>
      <c r="D72" s="284"/>
      <c r="E72" s="284">
        <v>2413.822540487714</v>
      </c>
      <c r="F72" s="285"/>
      <c r="G72" s="286">
        <f t="shared" si="10"/>
        <v>1</v>
      </c>
      <c r="H72" s="287">
        <f t="shared" si="11"/>
        <v>2413.822540487714</v>
      </c>
      <c r="I72" s="287">
        <f t="shared" si="12"/>
        <v>2413.822540487714</v>
      </c>
      <c r="J72" s="288">
        <f t="shared" si="0"/>
        <v>0</v>
      </c>
      <c r="K72" s="289">
        <v>0</v>
      </c>
      <c r="M72" s="174">
        <f t="shared" si="1"/>
        <v>0</v>
      </c>
      <c r="Q72" s="290"/>
      <c r="R72" s="291"/>
      <c r="T72" s="292"/>
    </row>
    <row r="73" spans="1:20" s="144" customFormat="1" ht="34.5" customHeight="1">
      <c r="A73" s="281" t="s">
        <v>119</v>
      </c>
      <c r="B73" s="282" t="s">
        <v>120</v>
      </c>
      <c r="C73" s="283">
        <f>E73/E54</f>
        <v>0.00025595681310498883</v>
      </c>
      <c r="D73" s="284"/>
      <c r="E73" s="284">
        <v>93.16508051005212</v>
      </c>
      <c r="F73" s="285"/>
      <c r="G73" s="286">
        <f t="shared" si="10"/>
        <v>1</v>
      </c>
      <c r="H73" s="287">
        <f t="shared" si="11"/>
        <v>93.16508051005212</v>
      </c>
      <c r="I73" s="287">
        <f t="shared" si="12"/>
        <v>93.16508051005212</v>
      </c>
      <c r="J73" s="288">
        <f t="shared" si="0"/>
        <v>0</v>
      </c>
      <c r="K73" s="289">
        <v>0</v>
      </c>
      <c r="M73" s="174">
        <f t="shared" si="1"/>
        <v>0</v>
      </c>
      <c r="N73" s="184"/>
      <c r="Q73" s="290"/>
      <c r="R73" s="291"/>
      <c r="T73" s="292"/>
    </row>
    <row r="74" spans="1:20" s="144" customFormat="1" ht="34.5" customHeight="1">
      <c r="A74" s="281" t="s">
        <v>121</v>
      </c>
      <c r="B74" s="282" t="s">
        <v>122</v>
      </c>
      <c r="C74" s="283">
        <f>E74/E54</f>
        <v>0.036248614702622826</v>
      </c>
      <c r="D74" s="284"/>
      <c r="E74" s="284">
        <v>13194.042644070925</v>
      </c>
      <c r="F74" s="285"/>
      <c r="G74" s="286">
        <f t="shared" si="10"/>
        <v>0.9999997996011537</v>
      </c>
      <c r="H74" s="287">
        <f t="shared" si="11"/>
        <v>13194.04</v>
      </c>
      <c r="I74" s="287">
        <v>13194.04</v>
      </c>
      <c r="J74" s="288">
        <f t="shared" si="0"/>
        <v>0</v>
      </c>
      <c r="K74" s="289">
        <v>0</v>
      </c>
      <c r="M74" s="174">
        <f t="shared" si="1"/>
        <v>0</v>
      </c>
      <c r="Q74" s="290"/>
      <c r="R74" s="291"/>
      <c r="T74" s="292"/>
    </row>
    <row r="75" spans="1:20" s="144" customFormat="1" ht="34.5" customHeight="1">
      <c r="A75" s="281" t="s">
        <v>123</v>
      </c>
      <c r="B75" s="282" t="s">
        <v>780</v>
      </c>
      <c r="C75" s="283">
        <f>E75/E54</f>
        <v>0.02073328407831548</v>
      </c>
      <c r="D75" s="284"/>
      <c r="E75" s="284">
        <v>7546.656238455856</v>
      </c>
      <c r="F75" s="285"/>
      <c r="G75" s="286">
        <f t="shared" si="10"/>
        <v>1.0000004984385171</v>
      </c>
      <c r="H75" s="287">
        <f t="shared" si="11"/>
        <v>7546.66</v>
      </c>
      <c r="I75" s="287">
        <v>7546.66</v>
      </c>
      <c r="J75" s="288">
        <f t="shared" si="0"/>
        <v>0</v>
      </c>
      <c r="K75" s="289">
        <v>0</v>
      </c>
      <c r="M75" s="174">
        <f t="shared" si="1"/>
        <v>0</v>
      </c>
      <c r="Q75" s="290"/>
      <c r="R75" s="291"/>
      <c r="T75" s="292"/>
    </row>
    <row r="76" spans="1:20" s="144" customFormat="1" ht="34.5" customHeight="1">
      <c r="A76" s="281" t="s">
        <v>125</v>
      </c>
      <c r="B76" s="282" t="s">
        <v>126</v>
      </c>
      <c r="C76" s="283">
        <f>E76/E54</f>
        <v>0.007988548208348725</v>
      </c>
      <c r="D76" s="284"/>
      <c r="E76" s="284">
        <v>2907.7316909863316</v>
      </c>
      <c r="F76" s="285"/>
      <c r="G76" s="286">
        <f t="shared" si="10"/>
        <v>0.999999418451731</v>
      </c>
      <c r="H76" s="287">
        <f t="shared" si="11"/>
        <v>2907.73</v>
      </c>
      <c r="I76" s="287">
        <v>2907.73</v>
      </c>
      <c r="J76" s="288">
        <f t="shared" si="0"/>
        <v>0</v>
      </c>
      <c r="K76" s="289">
        <v>0</v>
      </c>
      <c r="M76" s="174">
        <f t="shared" si="1"/>
        <v>0</v>
      </c>
      <c r="Q76" s="290"/>
      <c r="R76" s="291"/>
      <c r="T76" s="292"/>
    </row>
    <row r="77" spans="1:20" s="144" customFormat="1" ht="34.5" customHeight="1">
      <c r="A77" s="281" t="s">
        <v>127</v>
      </c>
      <c r="B77" s="282" t="s">
        <v>128</v>
      </c>
      <c r="C77" s="283">
        <f>E77/E54</f>
        <v>0.06002955301071297</v>
      </c>
      <c r="D77" s="284"/>
      <c r="E77" s="284">
        <v>21850.006926486887</v>
      </c>
      <c r="F77" s="285"/>
      <c r="G77" s="286">
        <f t="shared" si="10"/>
        <v>1.000000140664171</v>
      </c>
      <c r="H77" s="287">
        <f t="shared" si="11"/>
        <v>21850.01</v>
      </c>
      <c r="I77" s="287">
        <v>21850.01</v>
      </c>
      <c r="J77" s="288">
        <f t="shared" si="0"/>
        <v>0</v>
      </c>
      <c r="K77" s="289">
        <v>0</v>
      </c>
      <c r="M77" s="174">
        <f t="shared" si="1"/>
        <v>0</v>
      </c>
      <c r="Q77" s="290"/>
      <c r="R77" s="291"/>
      <c r="T77" s="292"/>
    </row>
    <row r="78" spans="1:15" ht="43.5">
      <c r="A78" s="275">
        <v>2</v>
      </c>
      <c r="B78" s="276" t="s">
        <v>781</v>
      </c>
      <c r="C78" s="277">
        <v>0.4</v>
      </c>
      <c r="D78" s="278">
        <v>2911900</v>
      </c>
      <c r="E78" s="278">
        <f>$E$53*C78</f>
        <v>2911900</v>
      </c>
      <c r="F78" s="279">
        <f>SUM(E79:E93)</f>
        <v>4950230</v>
      </c>
      <c r="G78" s="267">
        <f t="shared" si="10"/>
        <v>1</v>
      </c>
      <c r="H78" s="233">
        <f>+H79+H80+H83+H86+H93</f>
        <v>2911900</v>
      </c>
      <c r="I78" s="233">
        <f>+I79+I80+I83+I86+I93</f>
        <v>2887900</v>
      </c>
      <c r="J78" s="267">
        <f t="shared" si="0"/>
        <v>0.008242041278890071</v>
      </c>
      <c r="K78" s="234">
        <f>+K79+K80+K83+K86+K93</f>
        <v>24000</v>
      </c>
      <c r="M78" s="174">
        <f t="shared" si="1"/>
        <v>24000</v>
      </c>
      <c r="N78" s="184"/>
      <c r="O78" s="144"/>
    </row>
    <row r="79" spans="1:15" ht="23.25">
      <c r="A79" s="243" t="s">
        <v>62</v>
      </c>
      <c r="B79" s="244" t="s">
        <v>782</v>
      </c>
      <c r="C79" s="245">
        <v>0.2</v>
      </c>
      <c r="D79" s="246">
        <v>582380</v>
      </c>
      <c r="E79" s="246">
        <f aca="true" t="shared" si="13" ref="E79:E80">$E$78*C79</f>
        <v>582380</v>
      </c>
      <c r="F79" s="247"/>
      <c r="G79" s="248">
        <f t="shared" si="10"/>
        <v>1</v>
      </c>
      <c r="H79" s="249">
        <v>582380</v>
      </c>
      <c r="I79" s="249">
        <v>582380</v>
      </c>
      <c r="J79" s="256">
        <f t="shared" si="0"/>
        <v>0</v>
      </c>
      <c r="K79" s="250">
        <v>0</v>
      </c>
      <c r="M79" s="174">
        <f t="shared" si="1"/>
        <v>0</v>
      </c>
      <c r="O79" s="144"/>
    </row>
    <row r="80" spans="1:15" ht="23.25">
      <c r="A80" s="243" t="s">
        <v>64</v>
      </c>
      <c r="B80" s="252" t="s">
        <v>783</v>
      </c>
      <c r="C80" s="253">
        <v>0.1</v>
      </c>
      <c r="D80" s="246">
        <v>291190</v>
      </c>
      <c r="E80" s="246">
        <f t="shared" si="13"/>
        <v>291190</v>
      </c>
      <c r="F80" s="247"/>
      <c r="G80" s="256">
        <f t="shared" si="10"/>
        <v>1</v>
      </c>
      <c r="H80" s="257">
        <f aca="true" t="shared" si="14" ref="H80:H96">+I80+K80</f>
        <v>291190</v>
      </c>
      <c r="I80" s="257">
        <f>+I81+I82</f>
        <v>291190</v>
      </c>
      <c r="J80" s="256">
        <f t="shared" si="0"/>
        <v>0</v>
      </c>
      <c r="K80" s="258">
        <f>+K81+K82</f>
        <v>0</v>
      </c>
      <c r="M80" s="174">
        <f t="shared" si="1"/>
        <v>0</v>
      </c>
      <c r="O80" s="144"/>
    </row>
    <row r="81" spans="1:15" ht="23.25">
      <c r="A81" s="293" t="s">
        <v>132</v>
      </c>
      <c r="B81" s="294" t="s">
        <v>133</v>
      </c>
      <c r="C81" s="295">
        <f>+E81/E80</f>
        <v>0.2060510319722518</v>
      </c>
      <c r="D81" s="296"/>
      <c r="E81" s="296">
        <v>60000</v>
      </c>
      <c r="F81" s="297"/>
      <c r="G81" s="298">
        <f t="shared" si="10"/>
        <v>1</v>
      </c>
      <c r="H81" s="299">
        <f t="shared" si="14"/>
        <v>60000</v>
      </c>
      <c r="I81" s="299">
        <v>60000</v>
      </c>
      <c r="J81" s="298">
        <f t="shared" si="0"/>
        <v>0</v>
      </c>
      <c r="K81" s="300">
        <v>0</v>
      </c>
      <c r="M81" s="174">
        <f t="shared" si="1"/>
        <v>0</v>
      </c>
      <c r="O81" s="144"/>
    </row>
    <row r="82" spans="1:15" ht="23.25">
      <c r="A82" s="293" t="s">
        <v>134</v>
      </c>
      <c r="B82" s="294" t="s">
        <v>784</v>
      </c>
      <c r="C82" s="295">
        <f>+E82/E80</f>
        <v>0.7939489680277482</v>
      </c>
      <c r="D82" s="296"/>
      <c r="E82" s="296">
        <v>231190</v>
      </c>
      <c r="F82" s="297"/>
      <c r="G82" s="298">
        <f t="shared" si="10"/>
        <v>1</v>
      </c>
      <c r="H82" s="299">
        <f t="shared" si="14"/>
        <v>231190</v>
      </c>
      <c r="I82" s="299">
        <v>231190</v>
      </c>
      <c r="J82" s="298">
        <f t="shared" si="0"/>
        <v>0</v>
      </c>
      <c r="K82" s="300">
        <v>0</v>
      </c>
      <c r="M82" s="174">
        <f t="shared" si="1"/>
        <v>0</v>
      </c>
      <c r="O82" s="144"/>
    </row>
    <row r="83" spans="1:256" ht="23.25">
      <c r="A83" s="243" t="s">
        <v>66</v>
      </c>
      <c r="B83" s="252" t="s">
        <v>136</v>
      </c>
      <c r="C83" s="253">
        <v>0.35</v>
      </c>
      <c r="D83" s="246">
        <v>1019165</v>
      </c>
      <c r="E83" s="246">
        <f>$E$78*C83</f>
        <v>1019164.9999999999</v>
      </c>
      <c r="F83" s="247"/>
      <c r="G83" s="256">
        <f t="shared" si="10"/>
        <v>1.0000000000000002</v>
      </c>
      <c r="H83" s="257">
        <f t="shared" si="14"/>
        <v>1019165</v>
      </c>
      <c r="I83" s="257">
        <f>+I84+I85</f>
        <v>1019165</v>
      </c>
      <c r="J83" s="301">
        <f t="shared" si="0"/>
        <v>0</v>
      </c>
      <c r="K83" s="258">
        <f>+K84+K85</f>
        <v>0</v>
      </c>
      <c r="M83" s="174">
        <f t="shared" si="1"/>
        <v>0</v>
      </c>
      <c r="O83" s="144"/>
      <c r="FH83" s="302"/>
      <c r="FI83" s="302"/>
      <c r="FJ83" s="302"/>
      <c r="FK83" s="302"/>
      <c r="FL83" s="30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E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</row>
    <row r="84" spans="1:256" ht="23.25">
      <c r="A84" s="293" t="s">
        <v>137</v>
      </c>
      <c r="B84" s="294" t="s">
        <v>138</v>
      </c>
      <c r="C84" s="295">
        <f>+E84/E83</f>
        <v>0.7000000000000001</v>
      </c>
      <c r="D84" s="296"/>
      <c r="E84" s="296">
        <v>713415.5</v>
      </c>
      <c r="F84" s="297"/>
      <c r="G84" s="298">
        <f t="shared" si="10"/>
        <v>1</v>
      </c>
      <c r="H84" s="299">
        <f t="shared" si="14"/>
        <v>713415.5</v>
      </c>
      <c r="I84" s="299">
        <v>713415.5</v>
      </c>
      <c r="J84" s="303">
        <f t="shared" si="0"/>
        <v>0</v>
      </c>
      <c r="K84" s="300">
        <v>0</v>
      </c>
      <c r="M84" s="174">
        <f t="shared" si="1"/>
        <v>0</v>
      </c>
      <c r="O84" s="144"/>
      <c r="FH84" s="304"/>
      <c r="FI84" s="304"/>
      <c r="FJ84" s="304"/>
      <c r="FK84" s="304"/>
      <c r="FL84" s="304"/>
      <c r="FM84" s="304"/>
      <c r="FN84" s="304"/>
      <c r="FO84" s="304"/>
      <c r="FP84" s="304"/>
      <c r="FQ84" s="304"/>
      <c r="FR84" s="304"/>
      <c r="FS84" s="304"/>
      <c r="FT84" s="304"/>
      <c r="FU84" s="304"/>
      <c r="FV84" s="304"/>
      <c r="FW84" s="304"/>
      <c r="FX84" s="304"/>
      <c r="FY84" s="304"/>
      <c r="FZ84" s="304"/>
      <c r="GA84" s="304"/>
      <c r="GB84" s="304"/>
      <c r="GC84" s="304"/>
      <c r="GD84" s="304"/>
      <c r="GE84" s="304"/>
      <c r="GF84" s="304"/>
      <c r="GG84" s="304"/>
      <c r="GH84" s="304"/>
      <c r="GI84" s="304"/>
      <c r="GJ84" s="304"/>
      <c r="GK84" s="304"/>
      <c r="GL84" s="304"/>
      <c r="GM84" s="304"/>
      <c r="GN84" s="304"/>
      <c r="GO84" s="304"/>
      <c r="GP84" s="304"/>
      <c r="GQ84" s="304"/>
      <c r="GR84" s="304"/>
      <c r="GS84" s="304"/>
      <c r="GT84" s="304"/>
      <c r="GU84" s="304"/>
      <c r="GV84" s="304"/>
      <c r="GW84" s="304"/>
      <c r="GX84" s="304"/>
      <c r="GY84" s="304"/>
      <c r="GZ84" s="304"/>
      <c r="HA84" s="304"/>
      <c r="HB84" s="304"/>
      <c r="HC84" s="304"/>
      <c r="HD84" s="304"/>
      <c r="HE84" s="304"/>
      <c r="HF84" s="304"/>
      <c r="HG84" s="304"/>
      <c r="HH84" s="304"/>
      <c r="HI84" s="304"/>
      <c r="HJ84" s="304"/>
      <c r="HK84" s="304"/>
      <c r="HL84" s="304"/>
      <c r="HM84" s="304"/>
      <c r="HN84" s="304"/>
      <c r="HO84" s="304"/>
      <c r="HP84" s="304"/>
      <c r="HQ84" s="304"/>
      <c r="HR84" s="304"/>
      <c r="HS84" s="304"/>
      <c r="HT84" s="304"/>
      <c r="HU84" s="304"/>
      <c r="HV84" s="304"/>
      <c r="HW84" s="304"/>
      <c r="HX84" s="304"/>
      <c r="HY84" s="304"/>
      <c r="HZ84" s="304"/>
      <c r="IA84" s="304"/>
      <c r="IB84" s="304"/>
      <c r="IC84" s="304"/>
      <c r="ID84" s="304"/>
      <c r="IE84" s="304"/>
      <c r="IF84" s="304"/>
      <c r="IG84" s="304"/>
      <c r="IH84" s="304"/>
      <c r="II84" s="304"/>
      <c r="IJ84" s="304"/>
      <c r="IK84" s="304"/>
      <c r="IL84" s="304"/>
      <c r="IM84" s="304"/>
      <c r="IN84" s="304"/>
      <c r="IO84" s="304"/>
      <c r="IP84" s="304"/>
      <c r="IQ84" s="304"/>
      <c r="IR84" s="304"/>
      <c r="IS84" s="304"/>
      <c r="IT84" s="304"/>
      <c r="IU84" s="304"/>
      <c r="IV84" s="304"/>
    </row>
    <row r="85" spans="1:256" ht="23.25">
      <c r="A85" s="293" t="s">
        <v>139</v>
      </c>
      <c r="B85" s="294" t="s">
        <v>785</v>
      </c>
      <c r="C85" s="295">
        <f>+E85/E83</f>
        <v>0.30000000000000004</v>
      </c>
      <c r="D85" s="296"/>
      <c r="E85" s="296">
        <v>305749.5</v>
      </c>
      <c r="F85" s="297"/>
      <c r="G85" s="298">
        <f t="shared" si="10"/>
        <v>1</v>
      </c>
      <c r="H85" s="299">
        <f t="shared" si="14"/>
        <v>305749.5</v>
      </c>
      <c r="I85" s="299">
        <v>305749.5</v>
      </c>
      <c r="J85" s="303">
        <f t="shared" si="0"/>
        <v>0</v>
      </c>
      <c r="K85" s="300">
        <v>0</v>
      </c>
      <c r="M85" s="174">
        <f t="shared" si="1"/>
        <v>0</v>
      </c>
      <c r="O85" s="144"/>
      <c r="FH85" s="304"/>
      <c r="FI85" s="304"/>
      <c r="FJ85" s="304"/>
      <c r="FK85" s="304"/>
      <c r="FL85" s="304"/>
      <c r="FM85" s="304"/>
      <c r="FN85" s="304"/>
      <c r="FO85" s="304"/>
      <c r="FP85" s="304"/>
      <c r="FQ85" s="304"/>
      <c r="FR85" s="304"/>
      <c r="FS85" s="304"/>
      <c r="FT85" s="304"/>
      <c r="FU85" s="304"/>
      <c r="FV85" s="304"/>
      <c r="FW85" s="304"/>
      <c r="FX85" s="304"/>
      <c r="FY85" s="304"/>
      <c r="FZ85" s="304"/>
      <c r="GA85" s="304"/>
      <c r="GB85" s="304"/>
      <c r="GC85" s="304"/>
      <c r="GD85" s="304"/>
      <c r="GE85" s="304"/>
      <c r="GF85" s="304"/>
      <c r="GG85" s="304"/>
      <c r="GH85" s="304"/>
      <c r="GI85" s="304"/>
      <c r="GJ85" s="304"/>
      <c r="GK85" s="304"/>
      <c r="GL85" s="304"/>
      <c r="GM85" s="304"/>
      <c r="GN85" s="304"/>
      <c r="GO85" s="304"/>
      <c r="GP85" s="304"/>
      <c r="GQ85" s="304"/>
      <c r="GR85" s="304"/>
      <c r="GS85" s="304"/>
      <c r="GT85" s="304"/>
      <c r="GU85" s="304"/>
      <c r="GV85" s="304"/>
      <c r="GW85" s="304"/>
      <c r="GX85" s="304"/>
      <c r="GY85" s="304"/>
      <c r="GZ85" s="304"/>
      <c r="HA85" s="304"/>
      <c r="HB85" s="304"/>
      <c r="HC85" s="304"/>
      <c r="HD85" s="304"/>
      <c r="HE85" s="304"/>
      <c r="HF85" s="304"/>
      <c r="HG85" s="304"/>
      <c r="HH85" s="304"/>
      <c r="HI85" s="304"/>
      <c r="HJ85" s="304"/>
      <c r="HK85" s="304"/>
      <c r="HL85" s="304"/>
      <c r="HM85" s="304"/>
      <c r="HN85" s="304"/>
      <c r="HO85" s="304"/>
      <c r="HP85" s="304"/>
      <c r="HQ85" s="304"/>
      <c r="HR85" s="304"/>
      <c r="HS85" s="304"/>
      <c r="HT85" s="304"/>
      <c r="HU85" s="304"/>
      <c r="HV85" s="304"/>
      <c r="HW85" s="304"/>
      <c r="HX85" s="304"/>
      <c r="HY85" s="304"/>
      <c r="HZ85" s="304"/>
      <c r="IA85" s="304"/>
      <c r="IB85" s="304"/>
      <c r="IC85" s="304"/>
      <c r="ID85" s="304"/>
      <c r="IE85" s="304"/>
      <c r="IF85" s="304"/>
      <c r="IG85" s="304"/>
      <c r="IH85" s="304"/>
      <c r="II85" s="304"/>
      <c r="IJ85" s="304"/>
      <c r="IK85" s="304"/>
      <c r="IL85" s="304"/>
      <c r="IM85" s="304"/>
      <c r="IN85" s="304"/>
      <c r="IO85" s="304"/>
      <c r="IP85" s="304"/>
      <c r="IQ85" s="304"/>
      <c r="IR85" s="304"/>
      <c r="IS85" s="304"/>
      <c r="IT85" s="304"/>
      <c r="IU85" s="304"/>
      <c r="IV85" s="304"/>
    </row>
    <row r="86" spans="1:15" ht="23.25">
      <c r="A86" s="305" t="s">
        <v>68</v>
      </c>
      <c r="B86" s="260" t="s">
        <v>786</v>
      </c>
      <c r="C86" s="261">
        <v>0.25</v>
      </c>
      <c r="D86" s="306">
        <v>727975</v>
      </c>
      <c r="E86" s="306">
        <f>$E$78*C86</f>
        <v>727975</v>
      </c>
      <c r="F86" s="307"/>
      <c r="G86" s="264">
        <f t="shared" si="10"/>
        <v>1</v>
      </c>
      <c r="H86" s="265">
        <f t="shared" si="14"/>
        <v>727975</v>
      </c>
      <c r="I86" s="265">
        <f>+I87+I88+I89+I90+I91+I92</f>
        <v>727975</v>
      </c>
      <c r="J86" s="308">
        <f t="shared" si="0"/>
        <v>0</v>
      </c>
      <c r="K86" s="266">
        <f>+K87+K88+K89+K90+K91+K92</f>
        <v>0</v>
      </c>
      <c r="M86" s="174">
        <f t="shared" si="1"/>
        <v>0</v>
      </c>
      <c r="O86" s="144"/>
    </row>
    <row r="87" spans="1:256" ht="23.25">
      <c r="A87" s="309" t="s">
        <v>142</v>
      </c>
      <c r="B87" s="294" t="s">
        <v>787</v>
      </c>
      <c r="C87" s="295">
        <f>+E87/E86</f>
        <v>0.3434183866204197</v>
      </c>
      <c r="D87" s="310"/>
      <c r="E87" s="310">
        <v>250000</v>
      </c>
      <c r="F87" s="311"/>
      <c r="G87" s="298">
        <f t="shared" si="10"/>
        <v>1</v>
      </c>
      <c r="H87" s="299">
        <f t="shared" si="14"/>
        <v>250000</v>
      </c>
      <c r="I87" s="299">
        <v>250000</v>
      </c>
      <c r="J87" s="303">
        <f t="shared" si="0"/>
        <v>0</v>
      </c>
      <c r="K87" s="300">
        <v>0</v>
      </c>
      <c r="M87" s="174">
        <f t="shared" si="1"/>
        <v>0</v>
      </c>
      <c r="O87" s="144"/>
      <c r="FH87" s="312"/>
      <c r="FI87" s="313"/>
      <c r="FJ87" s="313"/>
      <c r="FK87" s="313"/>
      <c r="FL87" s="313"/>
      <c r="FM87" s="313"/>
      <c r="FN87" s="313"/>
      <c r="FO87" s="313"/>
      <c r="FP87" s="313"/>
      <c r="FQ87" s="313"/>
      <c r="FR87" s="313"/>
      <c r="FS87" s="313"/>
      <c r="FT87" s="313"/>
      <c r="FU87" s="313"/>
      <c r="FV87" s="313"/>
      <c r="FW87" s="313"/>
      <c r="FX87" s="313"/>
      <c r="FY87" s="313"/>
      <c r="FZ87" s="313"/>
      <c r="GA87" s="313"/>
      <c r="GB87" s="313"/>
      <c r="GC87" s="313"/>
      <c r="GD87" s="313"/>
      <c r="GE87" s="313"/>
      <c r="GF87" s="313"/>
      <c r="GG87" s="313"/>
      <c r="GH87" s="313"/>
      <c r="GI87" s="313"/>
      <c r="GJ87" s="313"/>
      <c r="GK87" s="313"/>
      <c r="GL87" s="313"/>
      <c r="GM87" s="313"/>
      <c r="GN87" s="313"/>
      <c r="GO87" s="313"/>
      <c r="GP87" s="313"/>
      <c r="GQ87" s="313"/>
      <c r="GR87" s="313"/>
      <c r="GS87" s="313"/>
      <c r="GT87" s="313"/>
      <c r="GU87" s="313"/>
      <c r="GV87" s="313"/>
      <c r="GW87" s="313"/>
      <c r="GX87" s="313"/>
      <c r="GY87" s="313"/>
      <c r="GZ87" s="313"/>
      <c r="HA87" s="313"/>
      <c r="HB87" s="313"/>
      <c r="HC87" s="313"/>
      <c r="HD87" s="313"/>
      <c r="HE87" s="313"/>
      <c r="HF87" s="313"/>
      <c r="HG87" s="313"/>
      <c r="HH87" s="313"/>
      <c r="HI87" s="313"/>
      <c r="HJ87" s="313"/>
      <c r="HK87" s="313"/>
      <c r="HL87" s="313"/>
      <c r="HM87" s="313"/>
      <c r="HN87" s="313"/>
      <c r="HO87" s="313"/>
      <c r="HP87" s="313"/>
      <c r="HQ87" s="313"/>
      <c r="HR87" s="313"/>
      <c r="HS87" s="313"/>
      <c r="HT87" s="313"/>
      <c r="HU87" s="313"/>
      <c r="HV87" s="313"/>
      <c r="HW87" s="313"/>
      <c r="HX87" s="313"/>
      <c r="HY87" s="313"/>
      <c r="HZ87" s="313"/>
      <c r="IA87" s="313"/>
      <c r="IB87" s="313"/>
      <c r="IC87" s="313"/>
      <c r="ID87" s="313"/>
      <c r="IE87" s="313"/>
      <c r="IF87" s="313"/>
      <c r="IG87" s="313"/>
      <c r="IH87" s="313"/>
      <c r="II87" s="313"/>
      <c r="IJ87" s="313"/>
      <c r="IK87" s="313"/>
      <c r="IL87" s="313"/>
      <c r="IM87" s="313"/>
      <c r="IN87" s="313"/>
      <c r="IO87" s="313"/>
      <c r="IP87" s="313"/>
      <c r="IQ87" s="313"/>
      <c r="IR87" s="313"/>
      <c r="IS87" s="313"/>
      <c r="IT87" s="313"/>
      <c r="IU87" s="313"/>
      <c r="IV87" s="313"/>
    </row>
    <row r="88" spans="1:256" ht="23.25">
      <c r="A88" s="309" t="s">
        <v>144</v>
      </c>
      <c r="B88" s="294" t="s">
        <v>788</v>
      </c>
      <c r="C88" s="295">
        <f>+E88/E86</f>
        <v>0.192314296507435</v>
      </c>
      <c r="D88" s="310"/>
      <c r="E88" s="310">
        <v>140000</v>
      </c>
      <c r="F88" s="311"/>
      <c r="G88" s="298">
        <f t="shared" si="10"/>
        <v>1</v>
      </c>
      <c r="H88" s="299">
        <f t="shared" si="14"/>
        <v>140000</v>
      </c>
      <c r="I88" s="299">
        <v>140000</v>
      </c>
      <c r="J88" s="303">
        <f t="shared" si="0"/>
        <v>0</v>
      </c>
      <c r="K88" s="300">
        <v>0</v>
      </c>
      <c r="M88" s="174">
        <f t="shared" si="1"/>
        <v>0</v>
      </c>
      <c r="O88" s="144"/>
      <c r="FH88" s="312"/>
      <c r="FI88" s="313"/>
      <c r="FJ88" s="313"/>
      <c r="FK88" s="313"/>
      <c r="FL88" s="313"/>
      <c r="FM88" s="313"/>
      <c r="FN88" s="313"/>
      <c r="FO88" s="313"/>
      <c r="FP88" s="313"/>
      <c r="FQ88" s="313"/>
      <c r="FR88" s="313"/>
      <c r="FS88" s="313"/>
      <c r="FT88" s="313"/>
      <c r="FU88" s="313"/>
      <c r="FV88" s="313"/>
      <c r="FW88" s="313"/>
      <c r="FX88" s="313"/>
      <c r="FY88" s="313"/>
      <c r="FZ88" s="313"/>
      <c r="GA88" s="313"/>
      <c r="GB88" s="313"/>
      <c r="GC88" s="313"/>
      <c r="GD88" s="313"/>
      <c r="GE88" s="313"/>
      <c r="GF88" s="313"/>
      <c r="GG88" s="313"/>
      <c r="GH88" s="313"/>
      <c r="GI88" s="313"/>
      <c r="GJ88" s="313"/>
      <c r="GK88" s="313"/>
      <c r="GL88" s="313"/>
      <c r="GM88" s="313"/>
      <c r="GN88" s="313"/>
      <c r="GO88" s="313"/>
      <c r="GP88" s="313"/>
      <c r="GQ88" s="313"/>
      <c r="GR88" s="313"/>
      <c r="GS88" s="313"/>
      <c r="GT88" s="313"/>
      <c r="GU88" s="313"/>
      <c r="GV88" s="313"/>
      <c r="GW88" s="313"/>
      <c r="GX88" s="313"/>
      <c r="GY88" s="313"/>
      <c r="GZ88" s="313"/>
      <c r="HA88" s="313"/>
      <c r="HB88" s="313"/>
      <c r="HC88" s="313"/>
      <c r="HD88" s="313"/>
      <c r="HE88" s="313"/>
      <c r="HF88" s="313"/>
      <c r="HG88" s="313"/>
      <c r="HH88" s="313"/>
      <c r="HI88" s="313"/>
      <c r="HJ88" s="313"/>
      <c r="HK88" s="313"/>
      <c r="HL88" s="313"/>
      <c r="HM88" s="313"/>
      <c r="HN88" s="313"/>
      <c r="HO88" s="313"/>
      <c r="HP88" s="313"/>
      <c r="HQ88" s="313"/>
      <c r="HR88" s="313"/>
      <c r="HS88" s="313"/>
      <c r="HT88" s="313"/>
      <c r="HU88" s="313"/>
      <c r="HV88" s="313"/>
      <c r="HW88" s="313"/>
      <c r="HX88" s="313"/>
      <c r="HY88" s="313"/>
      <c r="HZ88" s="313"/>
      <c r="IA88" s="313"/>
      <c r="IB88" s="313"/>
      <c r="IC88" s="313"/>
      <c r="ID88" s="313"/>
      <c r="IE88" s="313"/>
      <c r="IF88" s="313"/>
      <c r="IG88" s="313"/>
      <c r="IH88" s="313"/>
      <c r="II88" s="313"/>
      <c r="IJ88" s="313"/>
      <c r="IK88" s="313"/>
      <c r="IL88" s="313"/>
      <c r="IM88" s="313"/>
      <c r="IN88" s="313"/>
      <c r="IO88" s="313"/>
      <c r="IP88" s="313"/>
      <c r="IQ88" s="313"/>
      <c r="IR88" s="313"/>
      <c r="IS88" s="313"/>
      <c r="IT88" s="313"/>
      <c r="IU88" s="313"/>
      <c r="IV88" s="313"/>
    </row>
    <row r="89" spans="1:256" ht="23.25">
      <c r="A89" s="309" t="s">
        <v>146</v>
      </c>
      <c r="B89" s="294" t="s">
        <v>789</v>
      </c>
      <c r="C89" s="295">
        <f>+E89/E86</f>
        <v>0.24039287063429376</v>
      </c>
      <c r="D89" s="310"/>
      <c r="E89" s="310">
        <v>175000</v>
      </c>
      <c r="F89" s="311"/>
      <c r="G89" s="298">
        <f t="shared" si="10"/>
        <v>1</v>
      </c>
      <c r="H89" s="299">
        <f t="shared" si="14"/>
        <v>175000</v>
      </c>
      <c r="I89" s="299">
        <v>175000</v>
      </c>
      <c r="J89" s="303">
        <f t="shared" si="0"/>
        <v>0</v>
      </c>
      <c r="K89" s="300">
        <v>0</v>
      </c>
      <c r="M89" s="174">
        <f t="shared" si="1"/>
        <v>0</v>
      </c>
      <c r="O89" s="144"/>
      <c r="FH89" s="312"/>
      <c r="FI89" s="313"/>
      <c r="FJ89" s="313"/>
      <c r="FK89" s="313"/>
      <c r="FL89" s="313"/>
      <c r="FM89" s="313"/>
      <c r="FN89" s="313"/>
      <c r="FO89" s="313"/>
      <c r="FP89" s="313"/>
      <c r="FQ89" s="313"/>
      <c r="FR89" s="313"/>
      <c r="FS89" s="313"/>
      <c r="FT89" s="313"/>
      <c r="FU89" s="313"/>
      <c r="FV89" s="313"/>
      <c r="FW89" s="313"/>
      <c r="FX89" s="313"/>
      <c r="FY89" s="313"/>
      <c r="FZ89" s="313"/>
      <c r="GA89" s="313"/>
      <c r="GB89" s="313"/>
      <c r="GC89" s="313"/>
      <c r="GD89" s="313"/>
      <c r="GE89" s="313"/>
      <c r="GF89" s="313"/>
      <c r="GG89" s="313"/>
      <c r="GH89" s="313"/>
      <c r="GI89" s="313"/>
      <c r="GJ89" s="313"/>
      <c r="GK89" s="313"/>
      <c r="GL89" s="313"/>
      <c r="GM89" s="313"/>
      <c r="GN89" s="313"/>
      <c r="GO89" s="313"/>
      <c r="GP89" s="313"/>
      <c r="GQ89" s="313"/>
      <c r="GR89" s="313"/>
      <c r="GS89" s="313"/>
      <c r="GT89" s="313"/>
      <c r="GU89" s="313"/>
      <c r="GV89" s="313"/>
      <c r="GW89" s="313"/>
      <c r="GX89" s="313"/>
      <c r="GY89" s="313"/>
      <c r="GZ89" s="313"/>
      <c r="HA89" s="313"/>
      <c r="HB89" s="313"/>
      <c r="HC89" s="313"/>
      <c r="HD89" s="313"/>
      <c r="HE89" s="313"/>
      <c r="HF89" s="313"/>
      <c r="HG89" s="313"/>
      <c r="HH89" s="313"/>
      <c r="HI89" s="313"/>
      <c r="HJ89" s="313"/>
      <c r="HK89" s="313"/>
      <c r="HL89" s="313"/>
      <c r="HM89" s="313"/>
      <c r="HN89" s="313"/>
      <c r="HO89" s="313"/>
      <c r="HP89" s="313"/>
      <c r="HQ89" s="313"/>
      <c r="HR89" s="313"/>
      <c r="HS89" s="313"/>
      <c r="HT89" s="313"/>
      <c r="HU89" s="313"/>
      <c r="HV89" s="313"/>
      <c r="HW89" s="313"/>
      <c r="HX89" s="313"/>
      <c r="HY89" s="313"/>
      <c r="HZ89" s="313"/>
      <c r="IA89" s="313"/>
      <c r="IB89" s="313"/>
      <c r="IC89" s="313"/>
      <c r="ID89" s="313"/>
      <c r="IE89" s="313"/>
      <c r="IF89" s="313"/>
      <c r="IG89" s="313"/>
      <c r="IH89" s="313"/>
      <c r="II89" s="313"/>
      <c r="IJ89" s="313"/>
      <c r="IK89" s="313"/>
      <c r="IL89" s="313"/>
      <c r="IM89" s="313"/>
      <c r="IN89" s="313"/>
      <c r="IO89" s="313"/>
      <c r="IP89" s="313"/>
      <c r="IQ89" s="313"/>
      <c r="IR89" s="313"/>
      <c r="IS89" s="313"/>
      <c r="IT89" s="313"/>
      <c r="IU89" s="313"/>
      <c r="IV89" s="313"/>
    </row>
    <row r="90" spans="1:256" ht="23.25">
      <c r="A90" s="309" t="s">
        <v>148</v>
      </c>
      <c r="B90" s="294" t="s">
        <v>790</v>
      </c>
      <c r="C90" s="295">
        <f>+E90/E86</f>
        <v>0.13736735464816785</v>
      </c>
      <c r="D90" s="310"/>
      <c r="E90" s="310">
        <v>100000</v>
      </c>
      <c r="F90" s="311"/>
      <c r="G90" s="298">
        <f t="shared" si="10"/>
        <v>1</v>
      </c>
      <c r="H90" s="299">
        <f t="shared" si="14"/>
        <v>100000</v>
      </c>
      <c r="I90" s="299">
        <v>100000</v>
      </c>
      <c r="J90" s="303">
        <f t="shared" si="0"/>
        <v>0</v>
      </c>
      <c r="K90" s="300">
        <v>0</v>
      </c>
      <c r="M90" s="174">
        <f t="shared" si="1"/>
        <v>0</v>
      </c>
      <c r="O90" s="144"/>
      <c r="FH90" s="312"/>
      <c r="FI90" s="313"/>
      <c r="FJ90" s="313"/>
      <c r="FK90" s="313"/>
      <c r="FL90" s="313"/>
      <c r="FM90" s="313"/>
      <c r="FN90" s="313"/>
      <c r="FO90" s="313"/>
      <c r="FP90" s="313"/>
      <c r="FQ90" s="313"/>
      <c r="FR90" s="313"/>
      <c r="FS90" s="313"/>
      <c r="FT90" s="313"/>
      <c r="FU90" s="313"/>
      <c r="FV90" s="313"/>
      <c r="FW90" s="313"/>
      <c r="FX90" s="313"/>
      <c r="FY90" s="313"/>
      <c r="FZ90" s="313"/>
      <c r="GA90" s="313"/>
      <c r="GB90" s="313"/>
      <c r="GC90" s="313"/>
      <c r="GD90" s="313"/>
      <c r="GE90" s="313"/>
      <c r="GF90" s="313"/>
      <c r="GG90" s="313"/>
      <c r="GH90" s="313"/>
      <c r="GI90" s="313"/>
      <c r="GJ90" s="313"/>
      <c r="GK90" s="313"/>
      <c r="GL90" s="313"/>
      <c r="GM90" s="313"/>
      <c r="GN90" s="313"/>
      <c r="GO90" s="313"/>
      <c r="GP90" s="313"/>
      <c r="GQ90" s="313"/>
      <c r="GR90" s="313"/>
      <c r="GS90" s="313"/>
      <c r="GT90" s="313"/>
      <c r="GU90" s="313"/>
      <c r="GV90" s="313"/>
      <c r="GW90" s="313"/>
      <c r="GX90" s="313"/>
      <c r="GY90" s="313"/>
      <c r="GZ90" s="313"/>
      <c r="HA90" s="313"/>
      <c r="HB90" s="313"/>
      <c r="HC90" s="313"/>
      <c r="HD90" s="313"/>
      <c r="HE90" s="313"/>
      <c r="HF90" s="313"/>
      <c r="HG90" s="313"/>
      <c r="HH90" s="313"/>
      <c r="HI90" s="313"/>
      <c r="HJ90" s="313"/>
      <c r="HK90" s="313"/>
      <c r="HL90" s="313"/>
      <c r="HM90" s="313"/>
      <c r="HN90" s="313"/>
      <c r="HO90" s="313"/>
      <c r="HP90" s="313"/>
      <c r="HQ90" s="313"/>
      <c r="HR90" s="313"/>
      <c r="HS90" s="313"/>
      <c r="HT90" s="313"/>
      <c r="HU90" s="313"/>
      <c r="HV90" s="313"/>
      <c r="HW90" s="313"/>
      <c r="HX90" s="313"/>
      <c r="HY90" s="313"/>
      <c r="HZ90" s="313"/>
      <c r="IA90" s="313"/>
      <c r="IB90" s="313"/>
      <c r="IC90" s="313"/>
      <c r="ID90" s="313"/>
      <c r="IE90" s="313"/>
      <c r="IF90" s="313"/>
      <c r="IG90" s="313"/>
      <c r="IH90" s="313"/>
      <c r="II90" s="313"/>
      <c r="IJ90" s="313"/>
      <c r="IK90" s="313"/>
      <c r="IL90" s="313"/>
      <c r="IM90" s="313"/>
      <c r="IN90" s="313"/>
      <c r="IO90" s="313"/>
      <c r="IP90" s="313"/>
      <c r="IQ90" s="313"/>
      <c r="IR90" s="313"/>
      <c r="IS90" s="313"/>
      <c r="IT90" s="313"/>
      <c r="IU90" s="313"/>
      <c r="IV90" s="313"/>
    </row>
    <row r="91" spans="1:256" ht="23.25">
      <c r="A91" s="309" t="s">
        <v>150</v>
      </c>
      <c r="B91" s="294" t="s">
        <v>791</v>
      </c>
      <c r="C91" s="295">
        <f>+E91/E86</f>
        <v>0.05216525292764174</v>
      </c>
      <c r="D91" s="310"/>
      <c r="E91" s="310">
        <v>37975</v>
      </c>
      <c r="F91" s="311"/>
      <c r="G91" s="298">
        <f t="shared" si="10"/>
        <v>1</v>
      </c>
      <c r="H91" s="299">
        <f t="shared" si="14"/>
        <v>37975</v>
      </c>
      <c r="I91" s="299">
        <v>37975</v>
      </c>
      <c r="J91" s="303">
        <f t="shared" si="0"/>
        <v>0</v>
      </c>
      <c r="K91" s="300">
        <v>0</v>
      </c>
      <c r="M91" s="174">
        <f t="shared" si="1"/>
        <v>0</v>
      </c>
      <c r="O91" s="144"/>
      <c r="FH91" s="312"/>
      <c r="FI91" s="313"/>
      <c r="FJ91" s="313"/>
      <c r="FK91" s="313"/>
      <c r="FL91" s="313"/>
      <c r="FM91" s="313"/>
      <c r="FN91" s="313"/>
      <c r="FO91" s="313"/>
      <c r="FP91" s="313"/>
      <c r="FQ91" s="313"/>
      <c r="FR91" s="313"/>
      <c r="FS91" s="313"/>
      <c r="FT91" s="313"/>
      <c r="FU91" s="313"/>
      <c r="FV91" s="313"/>
      <c r="FW91" s="313"/>
      <c r="FX91" s="313"/>
      <c r="FY91" s="313"/>
      <c r="FZ91" s="313"/>
      <c r="GA91" s="313"/>
      <c r="GB91" s="313"/>
      <c r="GC91" s="313"/>
      <c r="GD91" s="313"/>
      <c r="GE91" s="313"/>
      <c r="GF91" s="313"/>
      <c r="GG91" s="313"/>
      <c r="GH91" s="313"/>
      <c r="GI91" s="313"/>
      <c r="GJ91" s="313"/>
      <c r="GK91" s="313"/>
      <c r="GL91" s="313"/>
      <c r="GM91" s="313"/>
      <c r="GN91" s="313"/>
      <c r="GO91" s="313"/>
      <c r="GP91" s="313"/>
      <c r="GQ91" s="313"/>
      <c r="GR91" s="313"/>
      <c r="GS91" s="313"/>
      <c r="GT91" s="313"/>
      <c r="GU91" s="313"/>
      <c r="GV91" s="313"/>
      <c r="GW91" s="313"/>
      <c r="GX91" s="313"/>
      <c r="GY91" s="313"/>
      <c r="GZ91" s="313"/>
      <c r="HA91" s="313"/>
      <c r="HB91" s="313"/>
      <c r="HC91" s="313"/>
      <c r="HD91" s="313"/>
      <c r="HE91" s="313"/>
      <c r="HF91" s="313"/>
      <c r="HG91" s="313"/>
      <c r="HH91" s="313"/>
      <c r="HI91" s="313"/>
      <c r="HJ91" s="313"/>
      <c r="HK91" s="313"/>
      <c r="HL91" s="313"/>
      <c r="HM91" s="313"/>
      <c r="HN91" s="313"/>
      <c r="HO91" s="313"/>
      <c r="HP91" s="313"/>
      <c r="HQ91" s="313"/>
      <c r="HR91" s="313"/>
      <c r="HS91" s="313"/>
      <c r="HT91" s="313"/>
      <c r="HU91" s="313"/>
      <c r="HV91" s="313"/>
      <c r="HW91" s="313"/>
      <c r="HX91" s="313"/>
      <c r="HY91" s="313"/>
      <c r="HZ91" s="313"/>
      <c r="IA91" s="313"/>
      <c r="IB91" s="313"/>
      <c r="IC91" s="313"/>
      <c r="ID91" s="313"/>
      <c r="IE91" s="313"/>
      <c r="IF91" s="313"/>
      <c r="IG91" s="313"/>
      <c r="IH91" s="313"/>
      <c r="II91" s="313"/>
      <c r="IJ91" s="313"/>
      <c r="IK91" s="313"/>
      <c r="IL91" s="313"/>
      <c r="IM91" s="313"/>
      <c r="IN91" s="313"/>
      <c r="IO91" s="313"/>
      <c r="IP91" s="313"/>
      <c r="IQ91" s="313"/>
      <c r="IR91" s="313"/>
      <c r="IS91" s="313"/>
      <c r="IT91" s="313"/>
      <c r="IU91" s="313"/>
      <c r="IV91" s="313"/>
    </row>
    <row r="92" spans="1:256" ht="23.25">
      <c r="A92" s="309" t="s">
        <v>152</v>
      </c>
      <c r="B92" s="294" t="s">
        <v>792</v>
      </c>
      <c r="C92" s="295">
        <f>+E92/E86</f>
        <v>0.03434183866204196</v>
      </c>
      <c r="D92" s="310"/>
      <c r="E92" s="310">
        <v>25000</v>
      </c>
      <c r="F92" s="311"/>
      <c r="G92" s="298">
        <f t="shared" si="10"/>
        <v>1</v>
      </c>
      <c r="H92" s="299">
        <f t="shared" si="14"/>
        <v>25000</v>
      </c>
      <c r="I92" s="299">
        <v>25000</v>
      </c>
      <c r="J92" s="303">
        <f t="shared" si="0"/>
        <v>0</v>
      </c>
      <c r="K92" s="300">
        <v>0</v>
      </c>
      <c r="M92" s="174">
        <f t="shared" si="1"/>
        <v>0</v>
      </c>
      <c r="O92" s="144"/>
      <c r="FH92" s="312"/>
      <c r="FI92" s="313"/>
      <c r="FJ92" s="313"/>
      <c r="FK92" s="313"/>
      <c r="FL92" s="313"/>
      <c r="FM92" s="313"/>
      <c r="FN92" s="313"/>
      <c r="FO92" s="313"/>
      <c r="FP92" s="313"/>
      <c r="FQ92" s="313"/>
      <c r="FR92" s="313"/>
      <c r="FS92" s="313"/>
      <c r="FT92" s="313"/>
      <c r="FU92" s="313"/>
      <c r="FV92" s="313"/>
      <c r="FW92" s="313"/>
      <c r="FX92" s="313"/>
      <c r="FY92" s="313"/>
      <c r="FZ92" s="313"/>
      <c r="GA92" s="313"/>
      <c r="GB92" s="313"/>
      <c r="GC92" s="313"/>
      <c r="GD92" s="313"/>
      <c r="GE92" s="313"/>
      <c r="GF92" s="313"/>
      <c r="GG92" s="313"/>
      <c r="GH92" s="313"/>
      <c r="GI92" s="313"/>
      <c r="GJ92" s="313"/>
      <c r="GK92" s="313"/>
      <c r="GL92" s="313"/>
      <c r="GM92" s="313"/>
      <c r="GN92" s="313"/>
      <c r="GO92" s="313"/>
      <c r="GP92" s="313"/>
      <c r="GQ92" s="313"/>
      <c r="GR92" s="313"/>
      <c r="GS92" s="313"/>
      <c r="GT92" s="313"/>
      <c r="GU92" s="313"/>
      <c r="GV92" s="313"/>
      <c r="GW92" s="313"/>
      <c r="GX92" s="313"/>
      <c r="GY92" s="313"/>
      <c r="GZ92" s="313"/>
      <c r="HA92" s="313"/>
      <c r="HB92" s="313"/>
      <c r="HC92" s="313"/>
      <c r="HD92" s="313"/>
      <c r="HE92" s="313"/>
      <c r="HF92" s="313"/>
      <c r="HG92" s="313"/>
      <c r="HH92" s="313"/>
      <c r="HI92" s="313"/>
      <c r="HJ92" s="313"/>
      <c r="HK92" s="313"/>
      <c r="HL92" s="313"/>
      <c r="HM92" s="313"/>
      <c r="HN92" s="313"/>
      <c r="HO92" s="313"/>
      <c r="HP92" s="313"/>
      <c r="HQ92" s="313"/>
      <c r="HR92" s="313"/>
      <c r="HS92" s="313"/>
      <c r="HT92" s="313"/>
      <c r="HU92" s="313"/>
      <c r="HV92" s="313"/>
      <c r="HW92" s="313"/>
      <c r="HX92" s="313"/>
      <c r="HY92" s="313"/>
      <c r="HZ92" s="313"/>
      <c r="IA92" s="313"/>
      <c r="IB92" s="313"/>
      <c r="IC92" s="313"/>
      <c r="ID92" s="313"/>
      <c r="IE92" s="313"/>
      <c r="IF92" s="313"/>
      <c r="IG92" s="313"/>
      <c r="IH92" s="313"/>
      <c r="II92" s="313"/>
      <c r="IJ92" s="313"/>
      <c r="IK92" s="313"/>
      <c r="IL92" s="313"/>
      <c r="IM92" s="313"/>
      <c r="IN92" s="313"/>
      <c r="IO92" s="313"/>
      <c r="IP92" s="313"/>
      <c r="IQ92" s="313"/>
      <c r="IR92" s="313"/>
      <c r="IS92" s="313"/>
      <c r="IT92" s="313"/>
      <c r="IU92" s="313"/>
      <c r="IV92" s="313"/>
    </row>
    <row r="93" spans="1:15" ht="23.25">
      <c r="A93" s="305" t="s">
        <v>154</v>
      </c>
      <c r="B93" s="314" t="s">
        <v>793</v>
      </c>
      <c r="C93" s="315">
        <v>0.1</v>
      </c>
      <c r="D93" s="306">
        <v>291190</v>
      </c>
      <c r="E93" s="306">
        <f>$E$78*C93</f>
        <v>291190</v>
      </c>
      <c r="F93" s="307"/>
      <c r="G93" s="316">
        <f t="shared" si="10"/>
        <v>1</v>
      </c>
      <c r="H93" s="317">
        <f t="shared" si="14"/>
        <v>291190</v>
      </c>
      <c r="I93" s="317">
        <f>+I94+I95+I96</f>
        <v>267190</v>
      </c>
      <c r="J93" s="316">
        <f t="shared" si="0"/>
        <v>0.08242041278890072</v>
      </c>
      <c r="K93" s="318">
        <f>+K94+K95+K96</f>
        <v>24000</v>
      </c>
      <c r="M93" s="174">
        <f t="shared" si="1"/>
        <v>24000</v>
      </c>
      <c r="O93" s="144"/>
    </row>
    <row r="94" spans="1:256" ht="23.25">
      <c r="A94" s="309" t="s">
        <v>156</v>
      </c>
      <c r="B94" s="294" t="s">
        <v>794</v>
      </c>
      <c r="C94" s="319">
        <f>+E94/E93</f>
        <v>0.24447954943507674</v>
      </c>
      <c r="D94" s="310"/>
      <c r="E94" s="310">
        <v>71190</v>
      </c>
      <c r="F94" s="311"/>
      <c r="G94" s="320">
        <f t="shared" si="10"/>
        <v>1</v>
      </c>
      <c r="H94" s="321">
        <f t="shared" si="14"/>
        <v>71190</v>
      </c>
      <c r="I94" s="321">
        <v>71190</v>
      </c>
      <c r="J94" s="320">
        <f t="shared" si="0"/>
        <v>0</v>
      </c>
      <c r="K94" s="322">
        <v>0</v>
      </c>
      <c r="M94" s="174">
        <f t="shared" si="1"/>
        <v>0</v>
      </c>
      <c r="O94" s="144"/>
      <c r="FH94" s="304"/>
      <c r="FI94" s="304"/>
      <c r="FJ94" s="304"/>
      <c r="FK94" s="304"/>
      <c r="FL94" s="304"/>
      <c r="FM94" s="304"/>
      <c r="FN94" s="304"/>
      <c r="FO94" s="304"/>
      <c r="FP94" s="304"/>
      <c r="FQ94" s="304"/>
      <c r="FR94" s="304"/>
      <c r="FS94" s="304"/>
      <c r="FT94" s="304"/>
      <c r="FU94" s="304"/>
      <c r="FV94" s="304"/>
      <c r="FW94" s="304"/>
      <c r="FX94" s="304"/>
      <c r="FY94" s="304"/>
      <c r="FZ94" s="304"/>
      <c r="GA94" s="304"/>
      <c r="GB94" s="304"/>
      <c r="GC94" s="304"/>
      <c r="GD94" s="304"/>
      <c r="GE94" s="304"/>
      <c r="GF94" s="304"/>
      <c r="GG94" s="304"/>
      <c r="GH94" s="304"/>
      <c r="GI94" s="304"/>
      <c r="GJ94" s="304"/>
      <c r="GK94" s="304"/>
      <c r="GL94" s="304"/>
      <c r="GM94" s="304"/>
      <c r="GN94" s="304"/>
      <c r="GO94" s="304"/>
      <c r="GP94" s="304"/>
      <c r="GQ94" s="304"/>
      <c r="GR94" s="304"/>
      <c r="GS94" s="304"/>
      <c r="GT94" s="304"/>
      <c r="GU94" s="304"/>
      <c r="GV94" s="304"/>
      <c r="GW94" s="304"/>
      <c r="GX94" s="304"/>
      <c r="GY94" s="304"/>
      <c r="GZ94" s="304"/>
      <c r="HA94" s="304"/>
      <c r="HB94" s="304"/>
      <c r="HC94" s="304"/>
      <c r="HD94" s="304"/>
      <c r="HE94" s="304"/>
      <c r="HF94" s="304"/>
      <c r="HG94" s="304"/>
      <c r="HH94" s="304"/>
      <c r="HI94" s="304"/>
      <c r="HJ94" s="304"/>
      <c r="HK94" s="304"/>
      <c r="HL94" s="304"/>
      <c r="HM94" s="304"/>
      <c r="HN94" s="304"/>
      <c r="HO94" s="304"/>
      <c r="HP94" s="304"/>
      <c r="HQ94" s="304"/>
      <c r="HR94" s="304"/>
      <c r="HS94" s="304"/>
      <c r="HT94" s="304"/>
      <c r="HU94" s="304"/>
      <c r="HV94" s="304"/>
      <c r="HW94" s="304"/>
      <c r="HX94" s="304"/>
      <c r="HY94" s="304"/>
      <c r="HZ94" s="304"/>
      <c r="IA94" s="304"/>
      <c r="IB94" s="304"/>
      <c r="IC94" s="304"/>
      <c r="ID94" s="304"/>
      <c r="IE94" s="304"/>
      <c r="IF94" s="304"/>
      <c r="IG94" s="304"/>
      <c r="IH94" s="304"/>
      <c r="II94" s="304"/>
      <c r="IJ94" s="304"/>
      <c r="IK94" s="304"/>
      <c r="IL94" s="304"/>
      <c r="IM94" s="304"/>
      <c r="IN94" s="304"/>
      <c r="IO94" s="304"/>
      <c r="IP94" s="304"/>
      <c r="IQ94" s="304"/>
      <c r="IR94" s="304"/>
      <c r="IS94" s="304"/>
      <c r="IT94" s="304"/>
      <c r="IU94" s="304"/>
      <c r="IV94" s="304"/>
    </row>
    <row r="95" spans="1:256" ht="23.25">
      <c r="A95" s="309" t="s">
        <v>158</v>
      </c>
      <c r="B95" s="294" t="s">
        <v>795</v>
      </c>
      <c r="C95" s="319">
        <f>+E95/E93</f>
        <v>0.4121020639445036</v>
      </c>
      <c r="D95" s="310"/>
      <c r="E95" s="310">
        <v>120000</v>
      </c>
      <c r="F95" s="311"/>
      <c r="G95" s="320">
        <f t="shared" si="10"/>
        <v>1</v>
      </c>
      <c r="H95" s="321">
        <f t="shared" si="14"/>
        <v>120000</v>
      </c>
      <c r="I95" s="321">
        <v>96000</v>
      </c>
      <c r="J95" s="320">
        <f t="shared" si="0"/>
        <v>0.2</v>
      </c>
      <c r="K95" s="322">
        <v>24000</v>
      </c>
      <c r="M95" s="174">
        <f t="shared" si="1"/>
        <v>24000</v>
      </c>
      <c r="O95" s="144"/>
      <c r="FH95" s="304"/>
      <c r="FI95" s="304"/>
      <c r="FJ95" s="304"/>
      <c r="FK95" s="304"/>
      <c r="FL95" s="304"/>
      <c r="FM95" s="304"/>
      <c r="FN95" s="304"/>
      <c r="FO95" s="304"/>
      <c r="FP95" s="304"/>
      <c r="FQ95" s="304"/>
      <c r="FR95" s="304"/>
      <c r="FS95" s="304"/>
      <c r="FT95" s="304"/>
      <c r="FU95" s="304"/>
      <c r="FV95" s="304"/>
      <c r="FW95" s="304"/>
      <c r="FX95" s="304"/>
      <c r="FY95" s="304"/>
      <c r="FZ95" s="304"/>
      <c r="GA95" s="304"/>
      <c r="GB95" s="304"/>
      <c r="GC95" s="304"/>
      <c r="GD95" s="304"/>
      <c r="GE95" s="304"/>
      <c r="GF95" s="304"/>
      <c r="GG95" s="304"/>
      <c r="GH95" s="304"/>
      <c r="GI95" s="304"/>
      <c r="GJ95" s="304"/>
      <c r="GK95" s="304"/>
      <c r="GL95" s="304"/>
      <c r="GM95" s="304"/>
      <c r="GN95" s="304"/>
      <c r="GO95" s="304"/>
      <c r="GP95" s="304"/>
      <c r="GQ95" s="304"/>
      <c r="GR95" s="304"/>
      <c r="GS95" s="304"/>
      <c r="GT95" s="304"/>
      <c r="GU95" s="304"/>
      <c r="GV95" s="304"/>
      <c r="GW95" s="304"/>
      <c r="GX95" s="304"/>
      <c r="GY95" s="304"/>
      <c r="GZ95" s="304"/>
      <c r="HA95" s="304"/>
      <c r="HB95" s="304"/>
      <c r="HC95" s="304"/>
      <c r="HD95" s="304"/>
      <c r="HE95" s="304"/>
      <c r="HF95" s="304"/>
      <c r="HG95" s="304"/>
      <c r="HH95" s="304"/>
      <c r="HI95" s="304"/>
      <c r="HJ95" s="304"/>
      <c r="HK95" s="304"/>
      <c r="HL95" s="304"/>
      <c r="HM95" s="304"/>
      <c r="HN95" s="304"/>
      <c r="HO95" s="304"/>
      <c r="HP95" s="304"/>
      <c r="HQ95" s="304"/>
      <c r="HR95" s="304"/>
      <c r="HS95" s="304"/>
      <c r="HT95" s="304"/>
      <c r="HU95" s="304"/>
      <c r="HV95" s="304"/>
      <c r="HW95" s="304"/>
      <c r="HX95" s="304"/>
      <c r="HY95" s="304"/>
      <c r="HZ95" s="304"/>
      <c r="IA95" s="304"/>
      <c r="IB95" s="304"/>
      <c r="IC95" s="304"/>
      <c r="ID95" s="304"/>
      <c r="IE95" s="304"/>
      <c r="IF95" s="304"/>
      <c r="IG95" s="304"/>
      <c r="IH95" s="304"/>
      <c r="II95" s="304"/>
      <c r="IJ95" s="304"/>
      <c r="IK95" s="304"/>
      <c r="IL95" s="304"/>
      <c r="IM95" s="304"/>
      <c r="IN95" s="304"/>
      <c r="IO95" s="304"/>
      <c r="IP95" s="304"/>
      <c r="IQ95" s="304"/>
      <c r="IR95" s="304"/>
      <c r="IS95" s="304"/>
      <c r="IT95" s="304"/>
      <c r="IU95" s="304"/>
      <c r="IV95" s="304"/>
    </row>
    <row r="96" spans="1:256" ht="23.25">
      <c r="A96" s="309" t="s">
        <v>160</v>
      </c>
      <c r="B96" s="294" t="s">
        <v>796</v>
      </c>
      <c r="C96" s="319">
        <f>+E96/E93</f>
        <v>0.3434183866204197</v>
      </c>
      <c r="D96" s="310"/>
      <c r="E96" s="310">
        <v>100000</v>
      </c>
      <c r="F96" s="311"/>
      <c r="G96" s="320">
        <f t="shared" si="10"/>
        <v>1</v>
      </c>
      <c r="H96" s="321">
        <f t="shared" si="14"/>
        <v>100000</v>
      </c>
      <c r="I96" s="321">
        <v>100000</v>
      </c>
      <c r="J96" s="320">
        <f t="shared" si="0"/>
        <v>0</v>
      </c>
      <c r="K96" s="322">
        <v>0</v>
      </c>
      <c r="M96" s="174">
        <f t="shared" si="1"/>
        <v>0</v>
      </c>
      <c r="O96" s="144"/>
      <c r="FH96" s="304"/>
      <c r="FI96" s="304"/>
      <c r="FJ96" s="304"/>
      <c r="FK96" s="304"/>
      <c r="FL96" s="304"/>
      <c r="FM96" s="304"/>
      <c r="FN96" s="304"/>
      <c r="FO96" s="304"/>
      <c r="FP96" s="304"/>
      <c r="FQ96" s="304"/>
      <c r="FR96" s="304"/>
      <c r="FS96" s="304"/>
      <c r="FT96" s="304"/>
      <c r="FU96" s="304"/>
      <c r="FV96" s="304"/>
      <c r="FW96" s="304"/>
      <c r="FX96" s="304"/>
      <c r="FY96" s="304"/>
      <c r="FZ96" s="304"/>
      <c r="GA96" s="304"/>
      <c r="GB96" s="304"/>
      <c r="GC96" s="304"/>
      <c r="GD96" s="304"/>
      <c r="GE96" s="304"/>
      <c r="GF96" s="304"/>
      <c r="GG96" s="304"/>
      <c r="GH96" s="304"/>
      <c r="GI96" s="304"/>
      <c r="GJ96" s="304"/>
      <c r="GK96" s="304"/>
      <c r="GL96" s="304"/>
      <c r="GM96" s="304"/>
      <c r="GN96" s="304"/>
      <c r="GO96" s="304"/>
      <c r="GP96" s="304"/>
      <c r="GQ96" s="304"/>
      <c r="GR96" s="304"/>
      <c r="GS96" s="304"/>
      <c r="GT96" s="304"/>
      <c r="GU96" s="304"/>
      <c r="GV96" s="304"/>
      <c r="GW96" s="304"/>
      <c r="GX96" s="304"/>
      <c r="GY96" s="304"/>
      <c r="GZ96" s="304"/>
      <c r="HA96" s="304"/>
      <c r="HB96" s="304"/>
      <c r="HC96" s="304"/>
      <c r="HD96" s="304"/>
      <c r="HE96" s="304"/>
      <c r="HF96" s="304"/>
      <c r="HG96" s="304"/>
      <c r="HH96" s="304"/>
      <c r="HI96" s="304"/>
      <c r="HJ96" s="304"/>
      <c r="HK96" s="304"/>
      <c r="HL96" s="304"/>
      <c r="HM96" s="304"/>
      <c r="HN96" s="304"/>
      <c r="HO96" s="304"/>
      <c r="HP96" s="304"/>
      <c r="HQ96" s="304"/>
      <c r="HR96" s="304"/>
      <c r="HS96" s="304"/>
      <c r="HT96" s="304"/>
      <c r="HU96" s="304"/>
      <c r="HV96" s="304"/>
      <c r="HW96" s="304"/>
      <c r="HX96" s="304"/>
      <c r="HY96" s="304"/>
      <c r="HZ96" s="304"/>
      <c r="IA96" s="304"/>
      <c r="IB96" s="304"/>
      <c r="IC96" s="304"/>
      <c r="ID96" s="304"/>
      <c r="IE96" s="304"/>
      <c r="IF96" s="304"/>
      <c r="IG96" s="304"/>
      <c r="IH96" s="304"/>
      <c r="II96" s="304"/>
      <c r="IJ96" s="304"/>
      <c r="IK96" s="304"/>
      <c r="IL96" s="304"/>
      <c r="IM96" s="304"/>
      <c r="IN96" s="304"/>
      <c r="IO96" s="304"/>
      <c r="IP96" s="304"/>
      <c r="IQ96" s="304"/>
      <c r="IR96" s="304"/>
      <c r="IS96" s="304"/>
      <c r="IT96" s="304"/>
      <c r="IU96" s="304"/>
      <c r="IV96" s="304"/>
    </row>
    <row r="97" spans="1:256" ht="43.5">
      <c r="A97" s="323">
        <v>3</v>
      </c>
      <c r="B97" s="324" t="s">
        <v>797</v>
      </c>
      <c r="C97" s="325">
        <v>0.53</v>
      </c>
      <c r="D97" s="326">
        <v>3858267.5</v>
      </c>
      <c r="E97" s="326">
        <f>$E$53*C97</f>
        <v>3858267.5</v>
      </c>
      <c r="F97" s="327">
        <f>SUM(E98:E145)</f>
        <v>9259840.500000004</v>
      </c>
      <c r="G97" s="328">
        <f t="shared" si="10"/>
        <v>0.9999999981486879</v>
      </c>
      <c r="H97" s="329">
        <f>SUM(H98:H99,H135,H140,H145)</f>
        <v>3858267.492857143</v>
      </c>
      <c r="I97" s="329">
        <f>+I98+I99+I135+I140+I145</f>
        <v>3858267.492857143</v>
      </c>
      <c r="J97" s="328">
        <f t="shared" si="0"/>
        <v>0</v>
      </c>
      <c r="K97" s="330">
        <f>+K98+K99+K135+K140+K145</f>
        <v>0</v>
      </c>
      <c r="M97" s="174">
        <f t="shared" si="1"/>
        <v>0</v>
      </c>
      <c r="O97" s="144"/>
      <c r="FH97" s="304"/>
      <c r="FI97" s="304"/>
      <c r="FJ97" s="304"/>
      <c r="FK97" s="304"/>
      <c r="FL97" s="304"/>
      <c r="FM97" s="304"/>
      <c r="FN97" s="304"/>
      <c r="FO97" s="304"/>
      <c r="FP97" s="304"/>
      <c r="FQ97" s="304"/>
      <c r="FR97" s="304"/>
      <c r="FS97" s="304"/>
      <c r="FT97" s="304"/>
      <c r="FU97" s="304"/>
      <c r="FV97" s="304"/>
      <c r="FW97" s="304"/>
      <c r="FX97" s="304"/>
      <c r="FY97" s="304"/>
      <c r="FZ97" s="304"/>
      <c r="GA97" s="304"/>
      <c r="GB97" s="304"/>
      <c r="GC97" s="304"/>
      <c r="GD97" s="304"/>
      <c r="GE97" s="304"/>
      <c r="GF97" s="304"/>
      <c r="GG97" s="304"/>
      <c r="GH97" s="304"/>
      <c r="GI97" s="304"/>
      <c r="GJ97" s="304"/>
      <c r="GK97" s="304"/>
      <c r="GL97" s="304"/>
      <c r="GM97" s="304"/>
      <c r="GN97" s="304"/>
      <c r="GO97" s="304"/>
      <c r="GP97" s="304"/>
      <c r="GQ97" s="304"/>
      <c r="GR97" s="304"/>
      <c r="GS97" s="304"/>
      <c r="GT97" s="304"/>
      <c r="GU97" s="304"/>
      <c r="GV97" s="304"/>
      <c r="GW97" s="304"/>
      <c r="GX97" s="304"/>
      <c r="GY97" s="304"/>
      <c r="GZ97" s="304"/>
      <c r="HA97" s="304"/>
      <c r="HB97" s="304"/>
      <c r="HC97" s="304"/>
      <c r="HD97" s="304"/>
      <c r="HE97" s="304"/>
      <c r="HF97" s="304"/>
      <c r="HG97" s="304"/>
      <c r="HH97" s="304"/>
      <c r="HI97" s="304"/>
      <c r="HJ97" s="304"/>
      <c r="HK97" s="304"/>
      <c r="HL97" s="304"/>
      <c r="HM97" s="304"/>
      <c r="HN97" s="304"/>
      <c r="HO97" s="304"/>
      <c r="HP97" s="304"/>
      <c r="HQ97" s="304"/>
      <c r="HR97" s="304"/>
      <c r="HS97" s="304"/>
      <c r="HT97" s="304"/>
      <c r="HU97" s="304"/>
      <c r="HV97" s="304"/>
      <c r="HW97" s="304"/>
      <c r="HX97" s="304"/>
      <c r="HY97" s="304"/>
      <c r="HZ97" s="304"/>
      <c r="IA97" s="304"/>
      <c r="IB97" s="304"/>
      <c r="IC97" s="304"/>
      <c r="ID97" s="304"/>
      <c r="IE97" s="304"/>
      <c r="IF97" s="304"/>
      <c r="IG97" s="304"/>
      <c r="IH97" s="304"/>
      <c r="II97" s="304"/>
      <c r="IJ97" s="304"/>
      <c r="IK97" s="304"/>
      <c r="IL97" s="304"/>
      <c r="IM97" s="304"/>
      <c r="IN97" s="304"/>
      <c r="IO97" s="304"/>
      <c r="IP97" s="304"/>
      <c r="IQ97" s="304"/>
      <c r="IR97" s="304"/>
      <c r="IS97" s="304"/>
      <c r="IT97" s="304"/>
      <c r="IU97" s="304"/>
      <c r="IV97" s="304"/>
    </row>
    <row r="98" spans="1:15" ht="23.25">
      <c r="A98" s="243" t="s">
        <v>71</v>
      </c>
      <c r="B98" s="244" t="s">
        <v>407</v>
      </c>
      <c r="C98" s="315">
        <v>0.1</v>
      </c>
      <c r="D98" s="306">
        <v>385826</v>
      </c>
      <c r="E98" s="249">
        <v>385826</v>
      </c>
      <c r="F98" s="247"/>
      <c r="G98" s="248">
        <f t="shared" si="10"/>
        <v>1</v>
      </c>
      <c r="H98" s="249">
        <f aca="true" t="shared" si="15" ref="H98:H166">+I98+K98</f>
        <v>385826</v>
      </c>
      <c r="I98" s="249">
        <v>385826</v>
      </c>
      <c r="J98" s="316">
        <f t="shared" si="0"/>
        <v>0</v>
      </c>
      <c r="K98" s="250">
        <v>0</v>
      </c>
      <c r="M98" s="174">
        <f t="shared" si="1"/>
        <v>0</v>
      </c>
      <c r="O98" s="144"/>
    </row>
    <row r="99" spans="1:15" ht="23.25">
      <c r="A99" s="251" t="s">
        <v>73</v>
      </c>
      <c r="B99" s="260" t="s">
        <v>798</v>
      </c>
      <c r="C99" s="261">
        <v>0.6</v>
      </c>
      <c r="D99" s="262">
        <v>2314960</v>
      </c>
      <c r="E99" s="257">
        <v>2314960</v>
      </c>
      <c r="F99" s="255"/>
      <c r="G99" s="331">
        <f t="shared" si="10"/>
        <v>0.9999999969144793</v>
      </c>
      <c r="H99" s="257">
        <f t="shared" si="15"/>
        <v>2314959.992857143</v>
      </c>
      <c r="I99" s="249">
        <f>+I100+I105+I110+I115+I120+I125+I130</f>
        <v>2314959.992857143</v>
      </c>
      <c r="J99" s="332">
        <f t="shared" si="0"/>
        <v>0</v>
      </c>
      <c r="K99" s="258">
        <f>+K100+K105+K110+K115+K120+K125+K130</f>
        <v>0</v>
      </c>
      <c r="L99" s="292"/>
      <c r="M99" s="174">
        <f t="shared" si="1"/>
        <v>0</v>
      </c>
      <c r="O99" s="144"/>
    </row>
    <row r="100" spans="1:256" ht="23.25">
      <c r="A100" s="309" t="s">
        <v>799</v>
      </c>
      <c r="B100" s="333" t="s">
        <v>166</v>
      </c>
      <c r="C100" s="334">
        <f aca="true" t="shared" si="16" ref="C100:C101">+E100/E99</f>
        <v>0.14285714285714285</v>
      </c>
      <c r="D100" s="335"/>
      <c r="E100" s="299">
        <f>+E99/7</f>
        <v>330708.5714285714</v>
      </c>
      <c r="F100" s="311"/>
      <c r="G100" s="336">
        <f t="shared" si="10"/>
        <v>0.999999995680271</v>
      </c>
      <c r="H100" s="299">
        <f t="shared" si="15"/>
        <v>330708.57</v>
      </c>
      <c r="I100" s="337">
        <f>+I101+I102+I103+I104</f>
        <v>330708.57</v>
      </c>
      <c r="J100" s="338">
        <f t="shared" si="0"/>
        <v>0</v>
      </c>
      <c r="K100" s="300">
        <f>SUM(K101:K104)</f>
        <v>0</v>
      </c>
      <c r="M100" s="174">
        <f t="shared" si="1"/>
        <v>0</v>
      </c>
      <c r="O100" s="144"/>
      <c r="FH100" s="304"/>
      <c r="FI100" s="304"/>
      <c r="FJ100" s="304"/>
      <c r="FK100" s="304"/>
      <c r="FL100" s="304"/>
      <c r="FM100" s="304"/>
      <c r="FN100" s="304"/>
      <c r="FO100" s="304"/>
      <c r="FP100" s="304"/>
      <c r="FQ100" s="304"/>
      <c r="FR100" s="304"/>
      <c r="FS100" s="304"/>
      <c r="FT100" s="304"/>
      <c r="FU100" s="304"/>
      <c r="FV100" s="304"/>
      <c r="FW100" s="304"/>
      <c r="FX100" s="304"/>
      <c r="FY100" s="304"/>
      <c r="FZ100" s="304"/>
      <c r="GA100" s="304"/>
      <c r="GB100" s="304"/>
      <c r="GC100" s="304"/>
      <c r="GD100" s="304"/>
      <c r="GE100" s="304"/>
      <c r="GF100" s="304"/>
      <c r="GG100" s="304"/>
      <c r="GH100" s="304"/>
      <c r="GI100" s="304"/>
      <c r="GJ100" s="304"/>
      <c r="GK100" s="304"/>
      <c r="GL100" s="304"/>
      <c r="GM100" s="304"/>
      <c r="GN100" s="304"/>
      <c r="GO100" s="304"/>
      <c r="GP100" s="304"/>
      <c r="GQ100" s="304"/>
      <c r="GR100" s="304"/>
      <c r="GS100" s="304"/>
      <c r="GT100" s="304"/>
      <c r="GU100" s="304"/>
      <c r="GV100" s="304"/>
      <c r="GW100" s="304"/>
      <c r="GX100" s="304"/>
      <c r="GY100" s="304"/>
      <c r="GZ100" s="304"/>
      <c r="HA100" s="304"/>
      <c r="HB100" s="304"/>
      <c r="HC100" s="304"/>
      <c r="HD100" s="304"/>
      <c r="HE100" s="304"/>
      <c r="HF100" s="304"/>
      <c r="HG100" s="304"/>
      <c r="HH100" s="304"/>
      <c r="HI100" s="304"/>
      <c r="HJ100" s="304"/>
      <c r="HK100" s="304"/>
      <c r="HL100" s="304"/>
      <c r="HM100" s="304"/>
      <c r="HN100" s="304"/>
      <c r="HO100" s="304"/>
      <c r="HP100" s="304"/>
      <c r="HQ100" s="304"/>
      <c r="HR100" s="304"/>
      <c r="HS100" s="304"/>
      <c r="HT100" s="304"/>
      <c r="HU100" s="304"/>
      <c r="HV100" s="304"/>
      <c r="HW100" s="304"/>
      <c r="HX100" s="304"/>
      <c r="HY100" s="304"/>
      <c r="HZ100" s="304"/>
      <c r="IA100" s="304"/>
      <c r="IB100" s="304"/>
      <c r="IC100" s="304"/>
      <c r="ID100" s="304"/>
      <c r="IE100" s="304"/>
      <c r="IF100" s="304"/>
      <c r="IG100" s="304"/>
      <c r="IH100" s="304"/>
      <c r="II100" s="304"/>
      <c r="IJ100" s="304"/>
      <c r="IK100" s="304"/>
      <c r="IL100" s="304"/>
      <c r="IM100" s="304"/>
      <c r="IN100" s="304"/>
      <c r="IO100" s="304"/>
      <c r="IP100" s="304"/>
      <c r="IQ100" s="304"/>
      <c r="IR100" s="304"/>
      <c r="IS100" s="304"/>
      <c r="IT100" s="304"/>
      <c r="IU100" s="304"/>
      <c r="IV100" s="304"/>
    </row>
    <row r="101" spans="1:256" ht="23.25">
      <c r="A101" s="339" t="s">
        <v>167</v>
      </c>
      <c r="B101" s="340" t="s">
        <v>800</v>
      </c>
      <c r="C101" s="341">
        <f t="shared" si="16"/>
        <v>0.10000001295918716</v>
      </c>
      <c r="D101" s="342"/>
      <c r="E101" s="343">
        <f>+E100-E102-E103-E104</f>
        <v>33070.861428571414</v>
      </c>
      <c r="F101" s="344"/>
      <c r="G101" s="345">
        <f t="shared" si="10"/>
        <v>0.9999999568027154</v>
      </c>
      <c r="H101" s="343">
        <f t="shared" si="15"/>
        <v>33070.86</v>
      </c>
      <c r="I101" s="346">
        <v>33070.86</v>
      </c>
      <c r="J101" s="347">
        <f t="shared" si="0"/>
        <v>0</v>
      </c>
      <c r="K101" s="348">
        <v>0</v>
      </c>
      <c r="M101" s="174">
        <f t="shared" si="1"/>
        <v>0</v>
      </c>
      <c r="O101" s="144"/>
      <c r="FH101" s="304"/>
      <c r="FI101" s="304"/>
      <c r="FJ101" s="304"/>
      <c r="FK101" s="304"/>
      <c r="FL101" s="304"/>
      <c r="FM101" s="304"/>
      <c r="FN101" s="304"/>
      <c r="FO101" s="304"/>
      <c r="FP101" s="304"/>
      <c r="FQ101" s="304"/>
      <c r="FR101" s="304"/>
      <c r="FS101" s="304"/>
      <c r="FT101" s="304"/>
      <c r="FU101" s="304"/>
      <c r="FV101" s="304"/>
      <c r="FW101" s="304"/>
      <c r="FX101" s="304"/>
      <c r="FY101" s="304"/>
      <c r="FZ101" s="304"/>
      <c r="GA101" s="304"/>
      <c r="GB101" s="304"/>
      <c r="GC101" s="304"/>
      <c r="GD101" s="304"/>
      <c r="GE101" s="304"/>
      <c r="GF101" s="304"/>
      <c r="GG101" s="304"/>
      <c r="GH101" s="304"/>
      <c r="GI101" s="304"/>
      <c r="GJ101" s="304"/>
      <c r="GK101" s="304"/>
      <c r="GL101" s="304"/>
      <c r="GM101" s="304"/>
      <c r="GN101" s="304"/>
      <c r="GO101" s="304"/>
      <c r="GP101" s="304"/>
      <c r="GQ101" s="304"/>
      <c r="GR101" s="304"/>
      <c r="GS101" s="304"/>
      <c r="GT101" s="304"/>
      <c r="GU101" s="304"/>
      <c r="GV101" s="304"/>
      <c r="GW101" s="304"/>
      <c r="GX101" s="304"/>
      <c r="GY101" s="304"/>
      <c r="GZ101" s="304"/>
      <c r="HA101" s="304"/>
      <c r="HB101" s="304"/>
      <c r="HC101" s="304"/>
      <c r="HD101" s="304"/>
      <c r="HE101" s="304"/>
      <c r="HF101" s="304"/>
      <c r="HG101" s="304"/>
      <c r="HH101" s="304"/>
      <c r="HI101" s="304"/>
      <c r="HJ101" s="304"/>
      <c r="HK101" s="304"/>
      <c r="HL101" s="304"/>
      <c r="HM101" s="304"/>
      <c r="HN101" s="304"/>
      <c r="HO101" s="304"/>
      <c r="HP101" s="304"/>
      <c r="HQ101" s="304"/>
      <c r="HR101" s="304"/>
      <c r="HS101" s="304"/>
      <c r="HT101" s="304"/>
      <c r="HU101" s="304"/>
      <c r="HV101" s="304"/>
      <c r="HW101" s="304"/>
      <c r="HX101" s="304"/>
      <c r="HY101" s="304"/>
      <c r="HZ101" s="304"/>
      <c r="IA101" s="304"/>
      <c r="IB101" s="304"/>
      <c r="IC101" s="304"/>
      <c r="ID101" s="304"/>
      <c r="IE101" s="304"/>
      <c r="IF101" s="304"/>
      <c r="IG101" s="304"/>
      <c r="IH101" s="304"/>
      <c r="II101" s="304"/>
      <c r="IJ101" s="304"/>
      <c r="IK101" s="304"/>
      <c r="IL101" s="304"/>
      <c r="IM101" s="304"/>
      <c r="IN101" s="304"/>
      <c r="IO101" s="304"/>
      <c r="IP101" s="304"/>
      <c r="IQ101" s="304"/>
      <c r="IR101" s="304"/>
      <c r="IS101" s="304"/>
      <c r="IT101" s="304"/>
      <c r="IU101" s="304"/>
      <c r="IV101" s="304"/>
    </row>
    <row r="102" spans="1:256" ht="23.25">
      <c r="A102" s="339" t="s">
        <v>169</v>
      </c>
      <c r="B102" s="340" t="s">
        <v>801</v>
      </c>
      <c r="C102" s="341">
        <f>+E102/E100</f>
        <v>0.29999999568027097</v>
      </c>
      <c r="D102" s="342"/>
      <c r="E102" s="343">
        <v>99212.57</v>
      </c>
      <c r="F102" s="344"/>
      <c r="G102" s="345">
        <f t="shared" si="10"/>
        <v>1</v>
      </c>
      <c r="H102" s="343">
        <f t="shared" si="15"/>
        <v>99212.57</v>
      </c>
      <c r="I102" s="346">
        <v>99212.57</v>
      </c>
      <c r="J102" s="347">
        <f t="shared" si="0"/>
        <v>0</v>
      </c>
      <c r="K102" s="348">
        <v>0</v>
      </c>
      <c r="M102" s="174">
        <f t="shared" si="1"/>
        <v>0</v>
      </c>
      <c r="O102" s="144"/>
      <c r="FH102" s="304"/>
      <c r="FI102" s="304"/>
      <c r="FJ102" s="304"/>
      <c r="FK102" s="304"/>
      <c r="FL102" s="304"/>
      <c r="FM102" s="304"/>
      <c r="FN102" s="304"/>
      <c r="FO102" s="304"/>
      <c r="FP102" s="304"/>
      <c r="FQ102" s="304"/>
      <c r="FR102" s="304"/>
      <c r="FS102" s="304"/>
      <c r="FT102" s="304"/>
      <c r="FU102" s="304"/>
      <c r="FV102" s="304"/>
      <c r="FW102" s="304"/>
      <c r="FX102" s="304"/>
      <c r="FY102" s="304"/>
      <c r="FZ102" s="304"/>
      <c r="GA102" s="304"/>
      <c r="GB102" s="304"/>
      <c r="GC102" s="304"/>
      <c r="GD102" s="304"/>
      <c r="GE102" s="304"/>
      <c r="GF102" s="304"/>
      <c r="GG102" s="304"/>
      <c r="GH102" s="304"/>
      <c r="GI102" s="304"/>
      <c r="GJ102" s="304"/>
      <c r="GK102" s="304"/>
      <c r="GL102" s="304"/>
      <c r="GM102" s="304"/>
      <c r="GN102" s="304"/>
      <c r="GO102" s="304"/>
      <c r="GP102" s="304"/>
      <c r="GQ102" s="304"/>
      <c r="GR102" s="304"/>
      <c r="GS102" s="304"/>
      <c r="GT102" s="304"/>
      <c r="GU102" s="304"/>
      <c r="GV102" s="304"/>
      <c r="GW102" s="304"/>
      <c r="GX102" s="304"/>
      <c r="GY102" s="304"/>
      <c r="GZ102" s="304"/>
      <c r="HA102" s="304"/>
      <c r="HB102" s="304"/>
      <c r="HC102" s="304"/>
      <c r="HD102" s="304"/>
      <c r="HE102" s="304"/>
      <c r="HF102" s="304"/>
      <c r="HG102" s="304"/>
      <c r="HH102" s="304"/>
      <c r="HI102" s="304"/>
      <c r="HJ102" s="304"/>
      <c r="HK102" s="304"/>
      <c r="HL102" s="304"/>
      <c r="HM102" s="304"/>
      <c r="HN102" s="304"/>
      <c r="HO102" s="304"/>
      <c r="HP102" s="304"/>
      <c r="HQ102" s="304"/>
      <c r="HR102" s="304"/>
      <c r="HS102" s="304"/>
      <c r="HT102" s="304"/>
      <c r="HU102" s="304"/>
      <c r="HV102" s="304"/>
      <c r="HW102" s="304"/>
      <c r="HX102" s="304"/>
      <c r="HY102" s="304"/>
      <c r="HZ102" s="304"/>
      <c r="IA102" s="304"/>
      <c r="IB102" s="304"/>
      <c r="IC102" s="304"/>
      <c r="ID102" s="304"/>
      <c r="IE102" s="304"/>
      <c r="IF102" s="304"/>
      <c r="IG102" s="304"/>
      <c r="IH102" s="304"/>
      <c r="II102" s="304"/>
      <c r="IJ102" s="304"/>
      <c r="IK102" s="304"/>
      <c r="IL102" s="304"/>
      <c r="IM102" s="304"/>
      <c r="IN102" s="304"/>
      <c r="IO102" s="304"/>
      <c r="IP102" s="304"/>
      <c r="IQ102" s="304"/>
      <c r="IR102" s="304"/>
      <c r="IS102" s="304"/>
      <c r="IT102" s="304"/>
      <c r="IU102" s="304"/>
      <c r="IV102" s="304"/>
    </row>
    <row r="103" spans="1:256" ht="23.25">
      <c r="A103" s="339" t="s">
        <v>171</v>
      </c>
      <c r="B103" s="340" t="s">
        <v>172</v>
      </c>
      <c r="C103" s="341">
        <f>+E103/E100</f>
        <v>0.40000000431972904</v>
      </c>
      <c r="D103" s="342"/>
      <c r="E103" s="343">
        <v>132283.43</v>
      </c>
      <c r="F103" s="344"/>
      <c r="G103" s="345">
        <f t="shared" si="10"/>
        <v>1</v>
      </c>
      <c r="H103" s="343">
        <f t="shared" si="15"/>
        <v>132283.43</v>
      </c>
      <c r="I103" s="346">
        <v>132283.43</v>
      </c>
      <c r="J103" s="347">
        <f t="shared" si="0"/>
        <v>0</v>
      </c>
      <c r="K103" s="348">
        <v>0</v>
      </c>
      <c r="M103" s="174">
        <f t="shared" si="1"/>
        <v>0</v>
      </c>
      <c r="O103" s="144"/>
      <c r="FH103" s="304"/>
      <c r="FI103" s="304"/>
      <c r="FJ103" s="304"/>
      <c r="FK103" s="304"/>
      <c r="FL103" s="304"/>
      <c r="FM103" s="304"/>
      <c r="FN103" s="304"/>
      <c r="FO103" s="304"/>
      <c r="FP103" s="304"/>
      <c r="FQ103" s="304"/>
      <c r="FR103" s="304"/>
      <c r="FS103" s="304"/>
      <c r="FT103" s="304"/>
      <c r="FU103" s="304"/>
      <c r="FV103" s="304"/>
      <c r="FW103" s="304"/>
      <c r="FX103" s="304"/>
      <c r="FY103" s="304"/>
      <c r="FZ103" s="304"/>
      <c r="GA103" s="304"/>
      <c r="GB103" s="304"/>
      <c r="GC103" s="304"/>
      <c r="GD103" s="304"/>
      <c r="GE103" s="304"/>
      <c r="GF103" s="304"/>
      <c r="GG103" s="304"/>
      <c r="GH103" s="304"/>
      <c r="GI103" s="304"/>
      <c r="GJ103" s="304"/>
      <c r="GK103" s="304"/>
      <c r="GL103" s="304"/>
      <c r="GM103" s="304"/>
      <c r="GN103" s="304"/>
      <c r="GO103" s="304"/>
      <c r="GP103" s="304"/>
      <c r="GQ103" s="304"/>
      <c r="GR103" s="304"/>
      <c r="GS103" s="304"/>
      <c r="GT103" s="304"/>
      <c r="GU103" s="304"/>
      <c r="GV103" s="304"/>
      <c r="GW103" s="304"/>
      <c r="GX103" s="304"/>
      <c r="GY103" s="304"/>
      <c r="GZ103" s="304"/>
      <c r="HA103" s="304"/>
      <c r="HB103" s="304"/>
      <c r="HC103" s="304"/>
      <c r="HD103" s="304"/>
      <c r="HE103" s="304"/>
      <c r="HF103" s="304"/>
      <c r="HG103" s="304"/>
      <c r="HH103" s="304"/>
      <c r="HI103" s="304"/>
      <c r="HJ103" s="304"/>
      <c r="HK103" s="304"/>
      <c r="HL103" s="304"/>
      <c r="HM103" s="304"/>
      <c r="HN103" s="304"/>
      <c r="HO103" s="304"/>
      <c r="HP103" s="304"/>
      <c r="HQ103" s="304"/>
      <c r="HR103" s="304"/>
      <c r="HS103" s="304"/>
      <c r="HT103" s="304"/>
      <c r="HU103" s="304"/>
      <c r="HV103" s="304"/>
      <c r="HW103" s="304"/>
      <c r="HX103" s="304"/>
      <c r="HY103" s="304"/>
      <c r="HZ103" s="304"/>
      <c r="IA103" s="304"/>
      <c r="IB103" s="304"/>
      <c r="IC103" s="304"/>
      <c r="ID103" s="304"/>
      <c r="IE103" s="304"/>
      <c r="IF103" s="304"/>
      <c r="IG103" s="304"/>
      <c r="IH103" s="304"/>
      <c r="II103" s="304"/>
      <c r="IJ103" s="304"/>
      <c r="IK103" s="304"/>
      <c r="IL103" s="304"/>
      <c r="IM103" s="304"/>
      <c r="IN103" s="304"/>
      <c r="IO103" s="304"/>
      <c r="IP103" s="304"/>
      <c r="IQ103" s="304"/>
      <c r="IR103" s="304"/>
      <c r="IS103" s="304"/>
      <c r="IT103" s="304"/>
      <c r="IU103" s="304"/>
      <c r="IV103" s="304"/>
    </row>
    <row r="104" spans="1:256" ht="23.25">
      <c r="A104" s="339" t="s">
        <v>173</v>
      </c>
      <c r="B104" s="340" t="s">
        <v>174</v>
      </c>
      <c r="C104" s="341">
        <f>+E104/E100</f>
        <v>0.19999998704081282</v>
      </c>
      <c r="D104" s="342"/>
      <c r="E104" s="343">
        <v>66141.71</v>
      </c>
      <c r="F104" s="344"/>
      <c r="G104" s="345">
        <f t="shared" si="10"/>
        <v>1</v>
      </c>
      <c r="H104" s="343">
        <f t="shared" si="15"/>
        <v>66141.71</v>
      </c>
      <c r="I104" s="346">
        <v>66141.71</v>
      </c>
      <c r="J104" s="347">
        <f t="shared" si="0"/>
        <v>0</v>
      </c>
      <c r="K104" s="348">
        <v>0</v>
      </c>
      <c r="M104" s="174">
        <f t="shared" si="1"/>
        <v>0</v>
      </c>
      <c r="O104" s="144"/>
      <c r="FH104" s="304"/>
      <c r="FI104" s="304"/>
      <c r="FJ104" s="304"/>
      <c r="FK104" s="304"/>
      <c r="FL104" s="304"/>
      <c r="FM104" s="304"/>
      <c r="FN104" s="304"/>
      <c r="FO104" s="304"/>
      <c r="FP104" s="304"/>
      <c r="FQ104" s="304"/>
      <c r="FR104" s="304"/>
      <c r="FS104" s="304"/>
      <c r="FT104" s="304"/>
      <c r="FU104" s="304"/>
      <c r="FV104" s="304"/>
      <c r="FW104" s="304"/>
      <c r="FX104" s="304"/>
      <c r="FY104" s="304"/>
      <c r="FZ104" s="304"/>
      <c r="GA104" s="304"/>
      <c r="GB104" s="304"/>
      <c r="GC104" s="304"/>
      <c r="GD104" s="304"/>
      <c r="GE104" s="304"/>
      <c r="GF104" s="304"/>
      <c r="GG104" s="304"/>
      <c r="GH104" s="304"/>
      <c r="GI104" s="304"/>
      <c r="GJ104" s="304"/>
      <c r="GK104" s="304"/>
      <c r="GL104" s="304"/>
      <c r="GM104" s="304"/>
      <c r="GN104" s="304"/>
      <c r="GO104" s="304"/>
      <c r="GP104" s="304"/>
      <c r="GQ104" s="304"/>
      <c r="GR104" s="304"/>
      <c r="GS104" s="304"/>
      <c r="GT104" s="304"/>
      <c r="GU104" s="304"/>
      <c r="GV104" s="304"/>
      <c r="GW104" s="304"/>
      <c r="GX104" s="304"/>
      <c r="GY104" s="304"/>
      <c r="GZ104" s="304"/>
      <c r="HA104" s="304"/>
      <c r="HB104" s="304"/>
      <c r="HC104" s="304"/>
      <c r="HD104" s="304"/>
      <c r="HE104" s="304"/>
      <c r="HF104" s="304"/>
      <c r="HG104" s="304"/>
      <c r="HH104" s="304"/>
      <c r="HI104" s="304"/>
      <c r="HJ104" s="304"/>
      <c r="HK104" s="304"/>
      <c r="HL104" s="304"/>
      <c r="HM104" s="304"/>
      <c r="HN104" s="304"/>
      <c r="HO104" s="304"/>
      <c r="HP104" s="304"/>
      <c r="HQ104" s="304"/>
      <c r="HR104" s="304"/>
      <c r="HS104" s="304"/>
      <c r="HT104" s="304"/>
      <c r="HU104" s="304"/>
      <c r="HV104" s="304"/>
      <c r="HW104" s="304"/>
      <c r="HX104" s="304"/>
      <c r="HY104" s="304"/>
      <c r="HZ104" s="304"/>
      <c r="IA104" s="304"/>
      <c r="IB104" s="304"/>
      <c r="IC104" s="304"/>
      <c r="ID104" s="304"/>
      <c r="IE104" s="304"/>
      <c r="IF104" s="304"/>
      <c r="IG104" s="304"/>
      <c r="IH104" s="304"/>
      <c r="II104" s="304"/>
      <c r="IJ104" s="304"/>
      <c r="IK104" s="304"/>
      <c r="IL104" s="304"/>
      <c r="IM104" s="304"/>
      <c r="IN104" s="304"/>
      <c r="IO104" s="304"/>
      <c r="IP104" s="304"/>
      <c r="IQ104" s="304"/>
      <c r="IR104" s="304"/>
      <c r="IS104" s="304"/>
      <c r="IT104" s="304"/>
      <c r="IU104" s="304"/>
      <c r="IV104" s="304"/>
    </row>
    <row r="105" spans="1:256" ht="23.25">
      <c r="A105" s="309" t="s">
        <v>175</v>
      </c>
      <c r="B105" s="333" t="s">
        <v>176</v>
      </c>
      <c r="C105" s="334">
        <f>+E105/E99</f>
        <v>0.14285714285714285</v>
      </c>
      <c r="D105" s="335"/>
      <c r="E105" s="299">
        <f>+E100</f>
        <v>330708.5714285714</v>
      </c>
      <c r="F105" s="311"/>
      <c r="G105" s="336">
        <f t="shared" si="10"/>
        <v>0.999999995680271</v>
      </c>
      <c r="H105" s="299">
        <f t="shared" si="15"/>
        <v>330708.57</v>
      </c>
      <c r="I105" s="337">
        <f>+I106+I107+I108+I109</f>
        <v>330708.57</v>
      </c>
      <c r="J105" s="338">
        <f t="shared" si="0"/>
        <v>0</v>
      </c>
      <c r="K105" s="300">
        <f>SUM(K106:K109)</f>
        <v>0</v>
      </c>
      <c r="M105" s="174">
        <f t="shared" si="1"/>
        <v>0</v>
      </c>
      <c r="O105" s="144"/>
      <c r="FH105" s="304"/>
      <c r="FI105" s="304"/>
      <c r="FJ105" s="304"/>
      <c r="FK105" s="304"/>
      <c r="FL105" s="304"/>
      <c r="FM105" s="304"/>
      <c r="FN105" s="304"/>
      <c r="FO105" s="304"/>
      <c r="FP105" s="304"/>
      <c r="FQ105" s="304"/>
      <c r="FR105" s="304"/>
      <c r="FS105" s="304"/>
      <c r="FT105" s="304"/>
      <c r="FU105" s="304"/>
      <c r="FV105" s="304"/>
      <c r="FW105" s="304"/>
      <c r="FX105" s="304"/>
      <c r="FY105" s="304"/>
      <c r="FZ105" s="304"/>
      <c r="GA105" s="304"/>
      <c r="GB105" s="304"/>
      <c r="GC105" s="304"/>
      <c r="GD105" s="304"/>
      <c r="GE105" s="304"/>
      <c r="GF105" s="304"/>
      <c r="GG105" s="304"/>
      <c r="GH105" s="304"/>
      <c r="GI105" s="304"/>
      <c r="GJ105" s="304"/>
      <c r="GK105" s="304"/>
      <c r="GL105" s="304"/>
      <c r="GM105" s="304"/>
      <c r="GN105" s="304"/>
      <c r="GO105" s="304"/>
      <c r="GP105" s="304"/>
      <c r="GQ105" s="304"/>
      <c r="GR105" s="304"/>
      <c r="GS105" s="304"/>
      <c r="GT105" s="304"/>
      <c r="GU105" s="304"/>
      <c r="GV105" s="304"/>
      <c r="GW105" s="304"/>
      <c r="GX105" s="304"/>
      <c r="GY105" s="304"/>
      <c r="GZ105" s="304"/>
      <c r="HA105" s="304"/>
      <c r="HB105" s="304"/>
      <c r="HC105" s="304"/>
      <c r="HD105" s="304"/>
      <c r="HE105" s="304"/>
      <c r="HF105" s="304"/>
      <c r="HG105" s="304"/>
      <c r="HH105" s="304"/>
      <c r="HI105" s="304"/>
      <c r="HJ105" s="304"/>
      <c r="HK105" s="304"/>
      <c r="HL105" s="304"/>
      <c r="HM105" s="304"/>
      <c r="HN105" s="304"/>
      <c r="HO105" s="304"/>
      <c r="HP105" s="304"/>
      <c r="HQ105" s="304"/>
      <c r="HR105" s="304"/>
      <c r="HS105" s="304"/>
      <c r="HT105" s="304"/>
      <c r="HU105" s="304"/>
      <c r="HV105" s="304"/>
      <c r="HW105" s="304"/>
      <c r="HX105" s="304"/>
      <c r="HY105" s="304"/>
      <c r="HZ105" s="304"/>
      <c r="IA105" s="304"/>
      <c r="IB105" s="304"/>
      <c r="IC105" s="304"/>
      <c r="ID105" s="304"/>
      <c r="IE105" s="304"/>
      <c r="IF105" s="304"/>
      <c r="IG105" s="304"/>
      <c r="IH105" s="304"/>
      <c r="II105" s="304"/>
      <c r="IJ105" s="304"/>
      <c r="IK105" s="304"/>
      <c r="IL105" s="304"/>
      <c r="IM105" s="304"/>
      <c r="IN105" s="304"/>
      <c r="IO105" s="304"/>
      <c r="IP105" s="304"/>
      <c r="IQ105" s="304"/>
      <c r="IR105" s="304"/>
      <c r="IS105" s="304"/>
      <c r="IT105" s="304"/>
      <c r="IU105" s="304"/>
      <c r="IV105" s="304"/>
    </row>
    <row r="106" spans="1:256" ht="23.25">
      <c r="A106" s="339" t="s">
        <v>177</v>
      </c>
      <c r="B106" s="340" t="s">
        <v>800</v>
      </c>
      <c r="C106" s="341">
        <f>+E106/E105</f>
        <v>0.10000001295918716</v>
      </c>
      <c r="D106" s="342"/>
      <c r="E106" s="343">
        <f>+E105-E107-E108-E109</f>
        <v>33070.861428571414</v>
      </c>
      <c r="F106" s="344"/>
      <c r="G106" s="345">
        <f t="shared" si="10"/>
        <v>0.9999999568027154</v>
      </c>
      <c r="H106" s="343">
        <f t="shared" si="15"/>
        <v>33070.86</v>
      </c>
      <c r="I106" s="346">
        <v>33070.86</v>
      </c>
      <c r="J106" s="347">
        <f t="shared" si="0"/>
        <v>0</v>
      </c>
      <c r="K106" s="348">
        <v>0</v>
      </c>
      <c r="M106" s="174">
        <f t="shared" si="1"/>
        <v>0</v>
      </c>
      <c r="O106" s="144"/>
      <c r="FH106" s="304"/>
      <c r="FI106" s="304"/>
      <c r="FJ106" s="304"/>
      <c r="FK106" s="304"/>
      <c r="FL106" s="304"/>
      <c r="FM106" s="304"/>
      <c r="FN106" s="304"/>
      <c r="FO106" s="304"/>
      <c r="FP106" s="304"/>
      <c r="FQ106" s="304"/>
      <c r="FR106" s="304"/>
      <c r="FS106" s="304"/>
      <c r="FT106" s="304"/>
      <c r="FU106" s="304"/>
      <c r="FV106" s="304"/>
      <c r="FW106" s="304"/>
      <c r="FX106" s="304"/>
      <c r="FY106" s="304"/>
      <c r="FZ106" s="304"/>
      <c r="GA106" s="304"/>
      <c r="GB106" s="304"/>
      <c r="GC106" s="304"/>
      <c r="GD106" s="304"/>
      <c r="GE106" s="304"/>
      <c r="GF106" s="304"/>
      <c r="GG106" s="304"/>
      <c r="GH106" s="304"/>
      <c r="GI106" s="304"/>
      <c r="GJ106" s="304"/>
      <c r="GK106" s="304"/>
      <c r="GL106" s="304"/>
      <c r="GM106" s="304"/>
      <c r="GN106" s="304"/>
      <c r="GO106" s="304"/>
      <c r="GP106" s="304"/>
      <c r="GQ106" s="304"/>
      <c r="GR106" s="304"/>
      <c r="GS106" s="304"/>
      <c r="GT106" s="304"/>
      <c r="GU106" s="304"/>
      <c r="GV106" s="304"/>
      <c r="GW106" s="304"/>
      <c r="GX106" s="304"/>
      <c r="GY106" s="304"/>
      <c r="GZ106" s="304"/>
      <c r="HA106" s="304"/>
      <c r="HB106" s="304"/>
      <c r="HC106" s="304"/>
      <c r="HD106" s="304"/>
      <c r="HE106" s="304"/>
      <c r="HF106" s="304"/>
      <c r="HG106" s="304"/>
      <c r="HH106" s="304"/>
      <c r="HI106" s="304"/>
      <c r="HJ106" s="304"/>
      <c r="HK106" s="304"/>
      <c r="HL106" s="304"/>
      <c r="HM106" s="304"/>
      <c r="HN106" s="304"/>
      <c r="HO106" s="304"/>
      <c r="HP106" s="304"/>
      <c r="HQ106" s="304"/>
      <c r="HR106" s="304"/>
      <c r="HS106" s="304"/>
      <c r="HT106" s="304"/>
      <c r="HU106" s="304"/>
      <c r="HV106" s="304"/>
      <c r="HW106" s="304"/>
      <c r="HX106" s="304"/>
      <c r="HY106" s="304"/>
      <c r="HZ106" s="304"/>
      <c r="IA106" s="304"/>
      <c r="IB106" s="304"/>
      <c r="IC106" s="304"/>
      <c r="ID106" s="304"/>
      <c r="IE106" s="304"/>
      <c r="IF106" s="304"/>
      <c r="IG106" s="304"/>
      <c r="IH106" s="304"/>
      <c r="II106" s="304"/>
      <c r="IJ106" s="304"/>
      <c r="IK106" s="304"/>
      <c r="IL106" s="304"/>
      <c r="IM106" s="304"/>
      <c r="IN106" s="304"/>
      <c r="IO106" s="304"/>
      <c r="IP106" s="304"/>
      <c r="IQ106" s="304"/>
      <c r="IR106" s="304"/>
      <c r="IS106" s="304"/>
      <c r="IT106" s="304"/>
      <c r="IU106" s="304"/>
      <c r="IV106" s="304"/>
    </row>
    <row r="107" spans="1:256" ht="23.25">
      <c r="A107" s="339" t="s">
        <v>178</v>
      </c>
      <c r="B107" s="340" t="s">
        <v>801</v>
      </c>
      <c r="C107" s="341">
        <f>+E107/E105</f>
        <v>0.29999999568027097</v>
      </c>
      <c r="D107" s="342"/>
      <c r="E107" s="343">
        <v>99212.57</v>
      </c>
      <c r="F107" s="344"/>
      <c r="G107" s="345">
        <f t="shared" si="10"/>
        <v>1</v>
      </c>
      <c r="H107" s="343">
        <f t="shared" si="15"/>
        <v>99212.57</v>
      </c>
      <c r="I107" s="346">
        <v>99212.57</v>
      </c>
      <c r="J107" s="347">
        <f t="shared" si="0"/>
        <v>0</v>
      </c>
      <c r="K107" s="348">
        <v>0</v>
      </c>
      <c r="M107" s="174">
        <f t="shared" si="1"/>
        <v>0</v>
      </c>
      <c r="O107" s="144"/>
      <c r="FH107" s="304"/>
      <c r="FI107" s="304"/>
      <c r="FJ107" s="304"/>
      <c r="FK107" s="304"/>
      <c r="FL107" s="304"/>
      <c r="FM107" s="304"/>
      <c r="FN107" s="304"/>
      <c r="FO107" s="304"/>
      <c r="FP107" s="304"/>
      <c r="FQ107" s="304"/>
      <c r="FR107" s="304"/>
      <c r="FS107" s="304"/>
      <c r="FT107" s="304"/>
      <c r="FU107" s="304"/>
      <c r="FV107" s="304"/>
      <c r="FW107" s="304"/>
      <c r="FX107" s="304"/>
      <c r="FY107" s="304"/>
      <c r="FZ107" s="304"/>
      <c r="GA107" s="304"/>
      <c r="GB107" s="304"/>
      <c r="GC107" s="304"/>
      <c r="GD107" s="304"/>
      <c r="GE107" s="304"/>
      <c r="GF107" s="304"/>
      <c r="GG107" s="304"/>
      <c r="GH107" s="304"/>
      <c r="GI107" s="304"/>
      <c r="GJ107" s="304"/>
      <c r="GK107" s="304"/>
      <c r="GL107" s="304"/>
      <c r="GM107" s="304"/>
      <c r="GN107" s="304"/>
      <c r="GO107" s="304"/>
      <c r="GP107" s="304"/>
      <c r="GQ107" s="304"/>
      <c r="GR107" s="304"/>
      <c r="GS107" s="304"/>
      <c r="GT107" s="304"/>
      <c r="GU107" s="304"/>
      <c r="GV107" s="304"/>
      <c r="GW107" s="304"/>
      <c r="GX107" s="304"/>
      <c r="GY107" s="304"/>
      <c r="GZ107" s="304"/>
      <c r="HA107" s="304"/>
      <c r="HB107" s="304"/>
      <c r="HC107" s="304"/>
      <c r="HD107" s="304"/>
      <c r="HE107" s="304"/>
      <c r="HF107" s="304"/>
      <c r="HG107" s="304"/>
      <c r="HH107" s="304"/>
      <c r="HI107" s="304"/>
      <c r="HJ107" s="304"/>
      <c r="HK107" s="304"/>
      <c r="HL107" s="304"/>
      <c r="HM107" s="304"/>
      <c r="HN107" s="304"/>
      <c r="HO107" s="304"/>
      <c r="HP107" s="304"/>
      <c r="HQ107" s="304"/>
      <c r="HR107" s="304"/>
      <c r="HS107" s="304"/>
      <c r="HT107" s="304"/>
      <c r="HU107" s="304"/>
      <c r="HV107" s="304"/>
      <c r="HW107" s="304"/>
      <c r="HX107" s="304"/>
      <c r="HY107" s="304"/>
      <c r="HZ107" s="304"/>
      <c r="IA107" s="304"/>
      <c r="IB107" s="304"/>
      <c r="IC107" s="304"/>
      <c r="ID107" s="304"/>
      <c r="IE107" s="304"/>
      <c r="IF107" s="304"/>
      <c r="IG107" s="304"/>
      <c r="IH107" s="304"/>
      <c r="II107" s="304"/>
      <c r="IJ107" s="304"/>
      <c r="IK107" s="304"/>
      <c r="IL107" s="304"/>
      <c r="IM107" s="304"/>
      <c r="IN107" s="304"/>
      <c r="IO107" s="304"/>
      <c r="IP107" s="304"/>
      <c r="IQ107" s="304"/>
      <c r="IR107" s="304"/>
      <c r="IS107" s="304"/>
      <c r="IT107" s="304"/>
      <c r="IU107" s="304"/>
      <c r="IV107" s="304"/>
    </row>
    <row r="108" spans="1:256" ht="23.25">
      <c r="A108" s="339" t="s">
        <v>179</v>
      </c>
      <c r="B108" s="340" t="s">
        <v>172</v>
      </c>
      <c r="C108" s="341">
        <f>+E108/E105</f>
        <v>0.40000000431972904</v>
      </c>
      <c r="D108" s="342"/>
      <c r="E108" s="343">
        <v>132283.43</v>
      </c>
      <c r="F108" s="344"/>
      <c r="G108" s="345">
        <f t="shared" si="10"/>
        <v>1</v>
      </c>
      <c r="H108" s="343">
        <f t="shared" si="15"/>
        <v>132283.43</v>
      </c>
      <c r="I108" s="346">
        <v>132283.43</v>
      </c>
      <c r="J108" s="347">
        <f t="shared" si="0"/>
        <v>0</v>
      </c>
      <c r="K108" s="348">
        <v>0</v>
      </c>
      <c r="M108" s="174">
        <f t="shared" si="1"/>
        <v>0</v>
      </c>
      <c r="O108" s="144"/>
      <c r="FH108" s="304"/>
      <c r="FI108" s="304"/>
      <c r="FJ108" s="304"/>
      <c r="FK108" s="304"/>
      <c r="FL108" s="304"/>
      <c r="FM108" s="304"/>
      <c r="FN108" s="304"/>
      <c r="FO108" s="304"/>
      <c r="FP108" s="304"/>
      <c r="FQ108" s="304"/>
      <c r="FR108" s="304"/>
      <c r="FS108" s="304"/>
      <c r="FT108" s="304"/>
      <c r="FU108" s="304"/>
      <c r="FV108" s="304"/>
      <c r="FW108" s="304"/>
      <c r="FX108" s="304"/>
      <c r="FY108" s="304"/>
      <c r="FZ108" s="304"/>
      <c r="GA108" s="304"/>
      <c r="GB108" s="304"/>
      <c r="GC108" s="304"/>
      <c r="GD108" s="304"/>
      <c r="GE108" s="304"/>
      <c r="GF108" s="304"/>
      <c r="GG108" s="304"/>
      <c r="GH108" s="304"/>
      <c r="GI108" s="304"/>
      <c r="GJ108" s="304"/>
      <c r="GK108" s="304"/>
      <c r="GL108" s="304"/>
      <c r="GM108" s="304"/>
      <c r="GN108" s="304"/>
      <c r="GO108" s="304"/>
      <c r="GP108" s="304"/>
      <c r="GQ108" s="304"/>
      <c r="GR108" s="304"/>
      <c r="GS108" s="304"/>
      <c r="GT108" s="304"/>
      <c r="GU108" s="304"/>
      <c r="GV108" s="304"/>
      <c r="GW108" s="304"/>
      <c r="GX108" s="304"/>
      <c r="GY108" s="304"/>
      <c r="GZ108" s="304"/>
      <c r="HA108" s="304"/>
      <c r="HB108" s="304"/>
      <c r="HC108" s="304"/>
      <c r="HD108" s="304"/>
      <c r="HE108" s="304"/>
      <c r="HF108" s="304"/>
      <c r="HG108" s="304"/>
      <c r="HH108" s="304"/>
      <c r="HI108" s="304"/>
      <c r="HJ108" s="304"/>
      <c r="HK108" s="304"/>
      <c r="HL108" s="304"/>
      <c r="HM108" s="304"/>
      <c r="HN108" s="304"/>
      <c r="HO108" s="304"/>
      <c r="HP108" s="304"/>
      <c r="HQ108" s="304"/>
      <c r="HR108" s="304"/>
      <c r="HS108" s="304"/>
      <c r="HT108" s="304"/>
      <c r="HU108" s="304"/>
      <c r="HV108" s="304"/>
      <c r="HW108" s="304"/>
      <c r="HX108" s="304"/>
      <c r="HY108" s="304"/>
      <c r="HZ108" s="304"/>
      <c r="IA108" s="304"/>
      <c r="IB108" s="304"/>
      <c r="IC108" s="304"/>
      <c r="ID108" s="304"/>
      <c r="IE108" s="304"/>
      <c r="IF108" s="304"/>
      <c r="IG108" s="304"/>
      <c r="IH108" s="304"/>
      <c r="II108" s="304"/>
      <c r="IJ108" s="304"/>
      <c r="IK108" s="304"/>
      <c r="IL108" s="304"/>
      <c r="IM108" s="304"/>
      <c r="IN108" s="304"/>
      <c r="IO108" s="304"/>
      <c r="IP108" s="304"/>
      <c r="IQ108" s="304"/>
      <c r="IR108" s="304"/>
      <c r="IS108" s="304"/>
      <c r="IT108" s="304"/>
      <c r="IU108" s="304"/>
      <c r="IV108" s="304"/>
    </row>
    <row r="109" spans="1:256" ht="23.25">
      <c r="A109" s="339" t="s">
        <v>180</v>
      </c>
      <c r="B109" s="340" t="s">
        <v>174</v>
      </c>
      <c r="C109" s="341">
        <f>+E109/E105</f>
        <v>0.19999998704081282</v>
      </c>
      <c r="D109" s="342"/>
      <c r="E109" s="343">
        <v>66141.71</v>
      </c>
      <c r="F109" s="344"/>
      <c r="G109" s="345">
        <f t="shared" si="10"/>
        <v>1</v>
      </c>
      <c r="H109" s="343">
        <f t="shared" si="15"/>
        <v>66141.71</v>
      </c>
      <c r="I109" s="346">
        <v>66141.71</v>
      </c>
      <c r="J109" s="347">
        <f t="shared" si="0"/>
        <v>0</v>
      </c>
      <c r="K109" s="348">
        <v>0</v>
      </c>
      <c r="M109" s="174">
        <f t="shared" si="1"/>
        <v>0</v>
      </c>
      <c r="O109" s="144"/>
      <c r="FH109" s="304"/>
      <c r="FI109" s="304"/>
      <c r="FJ109" s="304"/>
      <c r="FK109" s="304"/>
      <c r="FL109" s="304"/>
      <c r="FM109" s="304"/>
      <c r="FN109" s="304"/>
      <c r="FO109" s="304"/>
      <c r="FP109" s="304"/>
      <c r="FQ109" s="304"/>
      <c r="FR109" s="304"/>
      <c r="FS109" s="304"/>
      <c r="FT109" s="304"/>
      <c r="FU109" s="304"/>
      <c r="FV109" s="304"/>
      <c r="FW109" s="304"/>
      <c r="FX109" s="304"/>
      <c r="FY109" s="304"/>
      <c r="FZ109" s="304"/>
      <c r="GA109" s="304"/>
      <c r="GB109" s="304"/>
      <c r="GC109" s="304"/>
      <c r="GD109" s="304"/>
      <c r="GE109" s="304"/>
      <c r="GF109" s="304"/>
      <c r="GG109" s="304"/>
      <c r="GH109" s="304"/>
      <c r="GI109" s="304"/>
      <c r="GJ109" s="304"/>
      <c r="GK109" s="304"/>
      <c r="GL109" s="304"/>
      <c r="GM109" s="304"/>
      <c r="GN109" s="304"/>
      <c r="GO109" s="304"/>
      <c r="GP109" s="304"/>
      <c r="GQ109" s="304"/>
      <c r="GR109" s="304"/>
      <c r="GS109" s="304"/>
      <c r="GT109" s="304"/>
      <c r="GU109" s="304"/>
      <c r="GV109" s="304"/>
      <c r="GW109" s="304"/>
      <c r="GX109" s="304"/>
      <c r="GY109" s="304"/>
      <c r="GZ109" s="304"/>
      <c r="HA109" s="304"/>
      <c r="HB109" s="304"/>
      <c r="HC109" s="304"/>
      <c r="HD109" s="304"/>
      <c r="HE109" s="304"/>
      <c r="HF109" s="304"/>
      <c r="HG109" s="304"/>
      <c r="HH109" s="304"/>
      <c r="HI109" s="304"/>
      <c r="HJ109" s="304"/>
      <c r="HK109" s="304"/>
      <c r="HL109" s="304"/>
      <c r="HM109" s="304"/>
      <c r="HN109" s="304"/>
      <c r="HO109" s="304"/>
      <c r="HP109" s="304"/>
      <c r="HQ109" s="304"/>
      <c r="HR109" s="304"/>
      <c r="HS109" s="304"/>
      <c r="HT109" s="304"/>
      <c r="HU109" s="304"/>
      <c r="HV109" s="304"/>
      <c r="HW109" s="304"/>
      <c r="HX109" s="304"/>
      <c r="HY109" s="304"/>
      <c r="HZ109" s="304"/>
      <c r="IA109" s="304"/>
      <c r="IB109" s="304"/>
      <c r="IC109" s="304"/>
      <c r="ID109" s="304"/>
      <c r="IE109" s="304"/>
      <c r="IF109" s="304"/>
      <c r="IG109" s="304"/>
      <c r="IH109" s="304"/>
      <c r="II109" s="304"/>
      <c r="IJ109" s="304"/>
      <c r="IK109" s="304"/>
      <c r="IL109" s="304"/>
      <c r="IM109" s="304"/>
      <c r="IN109" s="304"/>
      <c r="IO109" s="304"/>
      <c r="IP109" s="304"/>
      <c r="IQ109" s="304"/>
      <c r="IR109" s="304"/>
      <c r="IS109" s="304"/>
      <c r="IT109" s="304"/>
      <c r="IU109" s="304"/>
      <c r="IV109" s="304"/>
    </row>
    <row r="110" spans="1:256" ht="23.25">
      <c r="A110" s="309" t="s">
        <v>181</v>
      </c>
      <c r="B110" s="333" t="s">
        <v>182</v>
      </c>
      <c r="C110" s="334">
        <f>+E110/E99</f>
        <v>0.14285714285714285</v>
      </c>
      <c r="D110" s="335"/>
      <c r="E110" s="299">
        <f>+E105</f>
        <v>330708.5714285714</v>
      </c>
      <c r="F110" s="311"/>
      <c r="G110" s="336">
        <f t="shared" si="10"/>
        <v>0.999999995680271</v>
      </c>
      <c r="H110" s="299">
        <f t="shared" si="15"/>
        <v>330708.57</v>
      </c>
      <c r="I110" s="337">
        <f>+I111+I112+I113+I114</f>
        <v>330708.57</v>
      </c>
      <c r="J110" s="338">
        <f t="shared" si="0"/>
        <v>0</v>
      </c>
      <c r="K110" s="300">
        <f>SUM(K111:K114)</f>
        <v>0</v>
      </c>
      <c r="M110" s="174">
        <f t="shared" si="1"/>
        <v>0</v>
      </c>
      <c r="O110" s="144"/>
      <c r="FH110" s="304"/>
      <c r="FI110" s="304"/>
      <c r="FJ110" s="304"/>
      <c r="FK110" s="304"/>
      <c r="FL110" s="304"/>
      <c r="FM110" s="304"/>
      <c r="FN110" s="304"/>
      <c r="FO110" s="304"/>
      <c r="FP110" s="304"/>
      <c r="FQ110" s="304"/>
      <c r="FR110" s="304"/>
      <c r="FS110" s="304"/>
      <c r="FT110" s="304"/>
      <c r="FU110" s="304"/>
      <c r="FV110" s="304"/>
      <c r="FW110" s="304"/>
      <c r="FX110" s="304"/>
      <c r="FY110" s="304"/>
      <c r="FZ110" s="304"/>
      <c r="GA110" s="304"/>
      <c r="GB110" s="304"/>
      <c r="GC110" s="304"/>
      <c r="GD110" s="304"/>
      <c r="GE110" s="304"/>
      <c r="GF110" s="304"/>
      <c r="GG110" s="304"/>
      <c r="GH110" s="304"/>
      <c r="GI110" s="304"/>
      <c r="GJ110" s="304"/>
      <c r="GK110" s="304"/>
      <c r="GL110" s="304"/>
      <c r="GM110" s="304"/>
      <c r="GN110" s="304"/>
      <c r="GO110" s="304"/>
      <c r="GP110" s="304"/>
      <c r="GQ110" s="304"/>
      <c r="GR110" s="304"/>
      <c r="GS110" s="304"/>
      <c r="GT110" s="304"/>
      <c r="GU110" s="304"/>
      <c r="GV110" s="304"/>
      <c r="GW110" s="304"/>
      <c r="GX110" s="304"/>
      <c r="GY110" s="304"/>
      <c r="GZ110" s="304"/>
      <c r="HA110" s="304"/>
      <c r="HB110" s="304"/>
      <c r="HC110" s="304"/>
      <c r="HD110" s="304"/>
      <c r="HE110" s="304"/>
      <c r="HF110" s="304"/>
      <c r="HG110" s="304"/>
      <c r="HH110" s="304"/>
      <c r="HI110" s="304"/>
      <c r="HJ110" s="304"/>
      <c r="HK110" s="304"/>
      <c r="HL110" s="304"/>
      <c r="HM110" s="304"/>
      <c r="HN110" s="304"/>
      <c r="HO110" s="304"/>
      <c r="HP110" s="304"/>
      <c r="HQ110" s="304"/>
      <c r="HR110" s="304"/>
      <c r="HS110" s="304"/>
      <c r="HT110" s="304"/>
      <c r="HU110" s="304"/>
      <c r="HV110" s="304"/>
      <c r="HW110" s="304"/>
      <c r="HX110" s="304"/>
      <c r="HY110" s="304"/>
      <c r="HZ110" s="304"/>
      <c r="IA110" s="304"/>
      <c r="IB110" s="304"/>
      <c r="IC110" s="304"/>
      <c r="ID110" s="304"/>
      <c r="IE110" s="304"/>
      <c r="IF110" s="304"/>
      <c r="IG110" s="304"/>
      <c r="IH110" s="304"/>
      <c r="II110" s="304"/>
      <c r="IJ110" s="304"/>
      <c r="IK110" s="304"/>
      <c r="IL110" s="304"/>
      <c r="IM110" s="304"/>
      <c r="IN110" s="304"/>
      <c r="IO110" s="304"/>
      <c r="IP110" s="304"/>
      <c r="IQ110" s="304"/>
      <c r="IR110" s="304"/>
      <c r="IS110" s="304"/>
      <c r="IT110" s="304"/>
      <c r="IU110" s="304"/>
      <c r="IV110" s="304"/>
    </row>
    <row r="111" spans="1:256" ht="23.25">
      <c r="A111" s="339" t="s">
        <v>183</v>
      </c>
      <c r="B111" s="340" t="s">
        <v>800</v>
      </c>
      <c r="C111" s="341">
        <f>+E111/E110</f>
        <v>0.10000001295918716</v>
      </c>
      <c r="D111" s="342"/>
      <c r="E111" s="343">
        <f>+E110-E112-E113-E114</f>
        <v>33070.861428571414</v>
      </c>
      <c r="F111" s="344"/>
      <c r="G111" s="345">
        <f t="shared" si="10"/>
        <v>0.9999999568027154</v>
      </c>
      <c r="H111" s="343">
        <f t="shared" si="15"/>
        <v>33070.86</v>
      </c>
      <c r="I111" s="346">
        <v>33070.86</v>
      </c>
      <c r="J111" s="347">
        <f t="shared" si="0"/>
        <v>0</v>
      </c>
      <c r="K111" s="348">
        <v>0</v>
      </c>
      <c r="M111" s="174">
        <f t="shared" si="1"/>
        <v>0</v>
      </c>
      <c r="O111" s="144"/>
      <c r="FH111" s="304"/>
      <c r="FI111" s="304"/>
      <c r="FJ111" s="304"/>
      <c r="FK111" s="304"/>
      <c r="FL111" s="304"/>
      <c r="FM111" s="304"/>
      <c r="FN111" s="304"/>
      <c r="FO111" s="304"/>
      <c r="FP111" s="304"/>
      <c r="FQ111" s="304"/>
      <c r="FR111" s="304"/>
      <c r="FS111" s="304"/>
      <c r="FT111" s="304"/>
      <c r="FU111" s="304"/>
      <c r="FV111" s="304"/>
      <c r="FW111" s="304"/>
      <c r="FX111" s="304"/>
      <c r="FY111" s="304"/>
      <c r="FZ111" s="304"/>
      <c r="GA111" s="304"/>
      <c r="GB111" s="304"/>
      <c r="GC111" s="304"/>
      <c r="GD111" s="304"/>
      <c r="GE111" s="304"/>
      <c r="GF111" s="304"/>
      <c r="GG111" s="304"/>
      <c r="GH111" s="304"/>
      <c r="GI111" s="304"/>
      <c r="GJ111" s="304"/>
      <c r="GK111" s="304"/>
      <c r="GL111" s="304"/>
      <c r="GM111" s="304"/>
      <c r="GN111" s="304"/>
      <c r="GO111" s="304"/>
      <c r="GP111" s="304"/>
      <c r="GQ111" s="304"/>
      <c r="GR111" s="304"/>
      <c r="GS111" s="304"/>
      <c r="GT111" s="304"/>
      <c r="GU111" s="304"/>
      <c r="GV111" s="304"/>
      <c r="GW111" s="304"/>
      <c r="GX111" s="304"/>
      <c r="GY111" s="304"/>
      <c r="GZ111" s="304"/>
      <c r="HA111" s="304"/>
      <c r="HB111" s="304"/>
      <c r="HC111" s="304"/>
      <c r="HD111" s="304"/>
      <c r="HE111" s="304"/>
      <c r="HF111" s="304"/>
      <c r="HG111" s="304"/>
      <c r="HH111" s="304"/>
      <c r="HI111" s="304"/>
      <c r="HJ111" s="304"/>
      <c r="HK111" s="304"/>
      <c r="HL111" s="304"/>
      <c r="HM111" s="304"/>
      <c r="HN111" s="304"/>
      <c r="HO111" s="304"/>
      <c r="HP111" s="304"/>
      <c r="HQ111" s="304"/>
      <c r="HR111" s="304"/>
      <c r="HS111" s="304"/>
      <c r="HT111" s="304"/>
      <c r="HU111" s="304"/>
      <c r="HV111" s="304"/>
      <c r="HW111" s="304"/>
      <c r="HX111" s="304"/>
      <c r="HY111" s="304"/>
      <c r="HZ111" s="304"/>
      <c r="IA111" s="304"/>
      <c r="IB111" s="304"/>
      <c r="IC111" s="304"/>
      <c r="ID111" s="304"/>
      <c r="IE111" s="304"/>
      <c r="IF111" s="304"/>
      <c r="IG111" s="304"/>
      <c r="IH111" s="304"/>
      <c r="II111" s="304"/>
      <c r="IJ111" s="304"/>
      <c r="IK111" s="304"/>
      <c r="IL111" s="304"/>
      <c r="IM111" s="304"/>
      <c r="IN111" s="304"/>
      <c r="IO111" s="304"/>
      <c r="IP111" s="304"/>
      <c r="IQ111" s="304"/>
      <c r="IR111" s="304"/>
      <c r="IS111" s="304"/>
      <c r="IT111" s="304"/>
      <c r="IU111" s="304"/>
      <c r="IV111" s="304"/>
    </row>
    <row r="112" spans="1:256" ht="23.25">
      <c r="A112" s="339" t="s">
        <v>184</v>
      </c>
      <c r="B112" s="340" t="s">
        <v>801</v>
      </c>
      <c r="C112" s="341">
        <f>+E112/E110</f>
        <v>0.29999999568027097</v>
      </c>
      <c r="D112" s="342"/>
      <c r="E112" s="343">
        <v>99212.57</v>
      </c>
      <c r="F112" s="344"/>
      <c r="G112" s="345">
        <f t="shared" si="10"/>
        <v>1</v>
      </c>
      <c r="H112" s="343">
        <f t="shared" si="15"/>
        <v>99212.57</v>
      </c>
      <c r="I112" s="346">
        <v>99212.57</v>
      </c>
      <c r="J112" s="347">
        <f t="shared" si="0"/>
        <v>0</v>
      </c>
      <c r="K112" s="348">
        <v>0</v>
      </c>
      <c r="M112" s="174">
        <f t="shared" si="1"/>
        <v>0</v>
      </c>
      <c r="O112" s="144"/>
      <c r="FH112" s="304"/>
      <c r="FI112" s="304"/>
      <c r="FJ112" s="304"/>
      <c r="FK112" s="304"/>
      <c r="FL112" s="304"/>
      <c r="FM112" s="304"/>
      <c r="FN112" s="304"/>
      <c r="FO112" s="304"/>
      <c r="FP112" s="304"/>
      <c r="FQ112" s="304"/>
      <c r="FR112" s="304"/>
      <c r="FS112" s="304"/>
      <c r="FT112" s="304"/>
      <c r="FU112" s="304"/>
      <c r="FV112" s="304"/>
      <c r="FW112" s="304"/>
      <c r="FX112" s="304"/>
      <c r="FY112" s="304"/>
      <c r="FZ112" s="304"/>
      <c r="GA112" s="304"/>
      <c r="GB112" s="304"/>
      <c r="GC112" s="304"/>
      <c r="GD112" s="304"/>
      <c r="GE112" s="304"/>
      <c r="GF112" s="304"/>
      <c r="GG112" s="304"/>
      <c r="GH112" s="304"/>
      <c r="GI112" s="304"/>
      <c r="GJ112" s="304"/>
      <c r="GK112" s="304"/>
      <c r="GL112" s="304"/>
      <c r="GM112" s="304"/>
      <c r="GN112" s="304"/>
      <c r="GO112" s="304"/>
      <c r="GP112" s="304"/>
      <c r="GQ112" s="304"/>
      <c r="GR112" s="304"/>
      <c r="GS112" s="304"/>
      <c r="GT112" s="304"/>
      <c r="GU112" s="304"/>
      <c r="GV112" s="304"/>
      <c r="GW112" s="304"/>
      <c r="GX112" s="304"/>
      <c r="GY112" s="304"/>
      <c r="GZ112" s="304"/>
      <c r="HA112" s="304"/>
      <c r="HB112" s="304"/>
      <c r="HC112" s="304"/>
      <c r="HD112" s="304"/>
      <c r="HE112" s="304"/>
      <c r="HF112" s="304"/>
      <c r="HG112" s="304"/>
      <c r="HH112" s="304"/>
      <c r="HI112" s="304"/>
      <c r="HJ112" s="304"/>
      <c r="HK112" s="304"/>
      <c r="HL112" s="304"/>
      <c r="HM112" s="304"/>
      <c r="HN112" s="304"/>
      <c r="HO112" s="304"/>
      <c r="HP112" s="304"/>
      <c r="HQ112" s="304"/>
      <c r="HR112" s="304"/>
      <c r="HS112" s="304"/>
      <c r="HT112" s="304"/>
      <c r="HU112" s="304"/>
      <c r="HV112" s="304"/>
      <c r="HW112" s="304"/>
      <c r="HX112" s="304"/>
      <c r="HY112" s="304"/>
      <c r="HZ112" s="304"/>
      <c r="IA112" s="304"/>
      <c r="IB112" s="304"/>
      <c r="IC112" s="304"/>
      <c r="ID112" s="304"/>
      <c r="IE112" s="304"/>
      <c r="IF112" s="304"/>
      <c r="IG112" s="304"/>
      <c r="IH112" s="304"/>
      <c r="II112" s="304"/>
      <c r="IJ112" s="304"/>
      <c r="IK112" s="304"/>
      <c r="IL112" s="304"/>
      <c r="IM112" s="304"/>
      <c r="IN112" s="304"/>
      <c r="IO112" s="304"/>
      <c r="IP112" s="304"/>
      <c r="IQ112" s="304"/>
      <c r="IR112" s="304"/>
      <c r="IS112" s="304"/>
      <c r="IT112" s="304"/>
      <c r="IU112" s="304"/>
      <c r="IV112" s="304"/>
    </row>
    <row r="113" spans="1:256" ht="23.25">
      <c r="A113" s="339" t="s">
        <v>185</v>
      </c>
      <c r="B113" s="340" t="s">
        <v>172</v>
      </c>
      <c r="C113" s="341">
        <f>+E113/E110</f>
        <v>0.40000000431972904</v>
      </c>
      <c r="D113" s="342"/>
      <c r="E113" s="343">
        <v>132283.43</v>
      </c>
      <c r="F113" s="344"/>
      <c r="G113" s="345">
        <f t="shared" si="10"/>
        <v>1</v>
      </c>
      <c r="H113" s="343">
        <f t="shared" si="15"/>
        <v>132283.43</v>
      </c>
      <c r="I113" s="346">
        <v>132283.43</v>
      </c>
      <c r="J113" s="347">
        <f t="shared" si="0"/>
        <v>0</v>
      </c>
      <c r="K113" s="348">
        <v>0</v>
      </c>
      <c r="M113" s="174">
        <f t="shared" si="1"/>
        <v>0</v>
      </c>
      <c r="O113" s="144"/>
      <c r="FH113" s="304"/>
      <c r="FI113" s="304"/>
      <c r="FJ113" s="304"/>
      <c r="FK113" s="304"/>
      <c r="FL113" s="304"/>
      <c r="FM113" s="304"/>
      <c r="FN113" s="304"/>
      <c r="FO113" s="304"/>
      <c r="FP113" s="304"/>
      <c r="FQ113" s="304"/>
      <c r="FR113" s="304"/>
      <c r="FS113" s="304"/>
      <c r="FT113" s="304"/>
      <c r="FU113" s="304"/>
      <c r="FV113" s="304"/>
      <c r="FW113" s="304"/>
      <c r="FX113" s="304"/>
      <c r="FY113" s="304"/>
      <c r="FZ113" s="304"/>
      <c r="GA113" s="304"/>
      <c r="GB113" s="304"/>
      <c r="GC113" s="304"/>
      <c r="GD113" s="304"/>
      <c r="GE113" s="304"/>
      <c r="GF113" s="304"/>
      <c r="GG113" s="304"/>
      <c r="GH113" s="304"/>
      <c r="GI113" s="304"/>
      <c r="GJ113" s="304"/>
      <c r="GK113" s="304"/>
      <c r="GL113" s="304"/>
      <c r="GM113" s="304"/>
      <c r="GN113" s="304"/>
      <c r="GO113" s="304"/>
      <c r="GP113" s="304"/>
      <c r="GQ113" s="304"/>
      <c r="GR113" s="304"/>
      <c r="GS113" s="304"/>
      <c r="GT113" s="304"/>
      <c r="GU113" s="304"/>
      <c r="GV113" s="304"/>
      <c r="GW113" s="304"/>
      <c r="GX113" s="304"/>
      <c r="GY113" s="304"/>
      <c r="GZ113" s="304"/>
      <c r="HA113" s="304"/>
      <c r="HB113" s="304"/>
      <c r="HC113" s="304"/>
      <c r="HD113" s="304"/>
      <c r="HE113" s="304"/>
      <c r="HF113" s="304"/>
      <c r="HG113" s="304"/>
      <c r="HH113" s="304"/>
      <c r="HI113" s="304"/>
      <c r="HJ113" s="304"/>
      <c r="HK113" s="304"/>
      <c r="HL113" s="304"/>
      <c r="HM113" s="304"/>
      <c r="HN113" s="304"/>
      <c r="HO113" s="304"/>
      <c r="HP113" s="304"/>
      <c r="HQ113" s="304"/>
      <c r="HR113" s="304"/>
      <c r="HS113" s="304"/>
      <c r="HT113" s="304"/>
      <c r="HU113" s="304"/>
      <c r="HV113" s="304"/>
      <c r="HW113" s="304"/>
      <c r="HX113" s="304"/>
      <c r="HY113" s="304"/>
      <c r="HZ113" s="304"/>
      <c r="IA113" s="304"/>
      <c r="IB113" s="304"/>
      <c r="IC113" s="304"/>
      <c r="ID113" s="304"/>
      <c r="IE113" s="304"/>
      <c r="IF113" s="304"/>
      <c r="IG113" s="304"/>
      <c r="IH113" s="304"/>
      <c r="II113" s="304"/>
      <c r="IJ113" s="304"/>
      <c r="IK113" s="304"/>
      <c r="IL113" s="304"/>
      <c r="IM113" s="304"/>
      <c r="IN113" s="304"/>
      <c r="IO113" s="304"/>
      <c r="IP113" s="304"/>
      <c r="IQ113" s="304"/>
      <c r="IR113" s="304"/>
      <c r="IS113" s="304"/>
      <c r="IT113" s="304"/>
      <c r="IU113" s="304"/>
      <c r="IV113" s="304"/>
    </row>
    <row r="114" spans="1:256" ht="23.25">
      <c r="A114" s="339" t="s">
        <v>186</v>
      </c>
      <c r="B114" s="340" t="s">
        <v>174</v>
      </c>
      <c r="C114" s="341">
        <f>+E114/E110</f>
        <v>0.19999998704081282</v>
      </c>
      <c r="D114" s="342"/>
      <c r="E114" s="343">
        <v>66141.71</v>
      </c>
      <c r="F114" s="344"/>
      <c r="G114" s="345">
        <f t="shared" si="10"/>
        <v>1</v>
      </c>
      <c r="H114" s="343">
        <f t="shared" si="15"/>
        <v>66141.71</v>
      </c>
      <c r="I114" s="346">
        <v>66141.71</v>
      </c>
      <c r="J114" s="347">
        <f t="shared" si="0"/>
        <v>0</v>
      </c>
      <c r="K114" s="348">
        <v>0</v>
      </c>
      <c r="M114" s="174">
        <f t="shared" si="1"/>
        <v>0</v>
      </c>
      <c r="O114" s="144"/>
      <c r="FH114" s="304"/>
      <c r="FI114" s="304"/>
      <c r="FJ114" s="304"/>
      <c r="FK114" s="304"/>
      <c r="FL114" s="304"/>
      <c r="FM114" s="304"/>
      <c r="FN114" s="304"/>
      <c r="FO114" s="304"/>
      <c r="FP114" s="304"/>
      <c r="FQ114" s="304"/>
      <c r="FR114" s="304"/>
      <c r="FS114" s="304"/>
      <c r="FT114" s="304"/>
      <c r="FU114" s="304"/>
      <c r="FV114" s="304"/>
      <c r="FW114" s="304"/>
      <c r="FX114" s="304"/>
      <c r="FY114" s="304"/>
      <c r="FZ114" s="304"/>
      <c r="GA114" s="304"/>
      <c r="GB114" s="304"/>
      <c r="GC114" s="304"/>
      <c r="GD114" s="304"/>
      <c r="GE114" s="304"/>
      <c r="GF114" s="304"/>
      <c r="GG114" s="304"/>
      <c r="GH114" s="304"/>
      <c r="GI114" s="304"/>
      <c r="GJ114" s="304"/>
      <c r="GK114" s="304"/>
      <c r="GL114" s="304"/>
      <c r="GM114" s="304"/>
      <c r="GN114" s="304"/>
      <c r="GO114" s="304"/>
      <c r="GP114" s="304"/>
      <c r="GQ114" s="304"/>
      <c r="GR114" s="304"/>
      <c r="GS114" s="304"/>
      <c r="GT114" s="304"/>
      <c r="GU114" s="304"/>
      <c r="GV114" s="304"/>
      <c r="GW114" s="304"/>
      <c r="GX114" s="304"/>
      <c r="GY114" s="304"/>
      <c r="GZ114" s="304"/>
      <c r="HA114" s="304"/>
      <c r="HB114" s="304"/>
      <c r="HC114" s="304"/>
      <c r="HD114" s="304"/>
      <c r="HE114" s="304"/>
      <c r="HF114" s="304"/>
      <c r="HG114" s="304"/>
      <c r="HH114" s="304"/>
      <c r="HI114" s="304"/>
      <c r="HJ114" s="304"/>
      <c r="HK114" s="304"/>
      <c r="HL114" s="304"/>
      <c r="HM114" s="304"/>
      <c r="HN114" s="304"/>
      <c r="HO114" s="304"/>
      <c r="HP114" s="304"/>
      <c r="HQ114" s="304"/>
      <c r="HR114" s="304"/>
      <c r="HS114" s="304"/>
      <c r="HT114" s="304"/>
      <c r="HU114" s="304"/>
      <c r="HV114" s="304"/>
      <c r="HW114" s="304"/>
      <c r="HX114" s="304"/>
      <c r="HY114" s="304"/>
      <c r="HZ114" s="304"/>
      <c r="IA114" s="304"/>
      <c r="IB114" s="304"/>
      <c r="IC114" s="304"/>
      <c r="ID114" s="304"/>
      <c r="IE114" s="304"/>
      <c r="IF114" s="304"/>
      <c r="IG114" s="304"/>
      <c r="IH114" s="304"/>
      <c r="II114" s="304"/>
      <c r="IJ114" s="304"/>
      <c r="IK114" s="304"/>
      <c r="IL114" s="304"/>
      <c r="IM114" s="304"/>
      <c r="IN114" s="304"/>
      <c r="IO114" s="304"/>
      <c r="IP114" s="304"/>
      <c r="IQ114" s="304"/>
      <c r="IR114" s="304"/>
      <c r="IS114" s="304"/>
      <c r="IT114" s="304"/>
      <c r="IU114" s="304"/>
      <c r="IV114" s="304"/>
    </row>
    <row r="115" spans="1:256" ht="23.25">
      <c r="A115" s="309" t="s">
        <v>187</v>
      </c>
      <c r="B115" s="333" t="s">
        <v>188</v>
      </c>
      <c r="C115" s="334">
        <f>+E115/E99</f>
        <v>0.14285714285714285</v>
      </c>
      <c r="D115" s="335"/>
      <c r="E115" s="299">
        <f>+E110</f>
        <v>330708.5714285714</v>
      </c>
      <c r="F115" s="311"/>
      <c r="G115" s="336">
        <f t="shared" si="10"/>
        <v>0.999999995680271</v>
      </c>
      <c r="H115" s="299">
        <f t="shared" si="15"/>
        <v>330708.57</v>
      </c>
      <c r="I115" s="337">
        <f>+I116+I117+I118+I119</f>
        <v>330708.57</v>
      </c>
      <c r="J115" s="338">
        <f t="shared" si="0"/>
        <v>0</v>
      </c>
      <c r="K115" s="300">
        <f>SUM(K116:K119)</f>
        <v>0</v>
      </c>
      <c r="M115" s="174">
        <f t="shared" si="1"/>
        <v>0</v>
      </c>
      <c r="O115" s="144"/>
      <c r="FH115" s="304"/>
      <c r="FI115" s="304"/>
      <c r="FJ115" s="304"/>
      <c r="FK115" s="304"/>
      <c r="FL115" s="304"/>
      <c r="FM115" s="304"/>
      <c r="FN115" s="304"/>
      <c r="FO115" s="304"/>
      <c r="FP115" s="304"/>
      <c r="FQ115" s="304"/>
      <c r="FR115" s="304"/>
      <c r="FS115" s="304"/>
      <c r="FT115" s="304"/>
      <c r="FU115" s="304"/>
      <c r="FV115" s="304"/>
      <c r="FW115" s="304"/>
      <c r="FX115" s="304"/>
      <c r="FY115" s="304"/>
      <c r="FZ115" s="304"/>
      <c r="GA115" s="304"/>
      <c r="GB115" s="304"/>
      <c r="GC115" s="304"/>
      <c r="GD115" s="304"/>
      <c r="GE115" s="304"/>
      <c r="GF115" s="304"/>
      <c r="GG115" s="304"/>
      <c r="GH115" s="304"/>
      <c r="GI115" s="304"/>
      <c r="GJ115" s="304"/>
      <c r="GK115" s="304"/>
      <c r="GL115" s="304"/>
      <c r="GM115" s="304"/>
      <c r="GN115" s="304"/>
      <c r="GO115" s="304"/>
      <c r="GP115" s="304"/>
      <c r="GQ115" s="304"/>
      <c r="GR115" s="304"/>
      <c r="GS115" s="304"/>
      <c r="GT115" s="304"/>
      <c r="GU115" s="304"/>
      <c r="GV115" s="304"/>
      <c r="GW115" s="304"/>
      <c r="GX115" s="304"/>
      <c r="GY115" s="304"/>
      <c r="GZ115" s="304"/>
      <c r="HA115" s="304"/>
      <c r="HB115" s="304"/>
      <c r="HC115" s="304"/>
      <c r="HD115" s="304"/>
      <c r="HE115" s="304"/>
      <c r="HF115" s="304"/>
      <c r="HG115" s="304"/>
      <c r="HH115" s="304"/>
      <c r="HI115" s="304"/>
      <c r="HJ115" s="304"/>
      <c r="HK115" s="304"/>
      <c r="HL115" s="304"/>
      <c r="HM115" s="304"/>
      <c r="HN115" s="304"/>
      <c r="HO115" s="304"/>
      <c r="HP115" s="304"/>
      <c r="HQ115" s="304"/>
      <c r="HR115" s="304"/>
      <c r="HS115" s="304"/>
      <c r="HT115" s="304"/>
      <c r="HU115" s="304"/>
      <c r="HV115" s="304"/>
      <c r="HW115" s="304"/>
      <c r="HX115" s="304"/>
      <c r="HY115" s="304"/>
      <c r="HZ115" s="304"/>
      <c r="IA115" s="304"/>
      <c r="IB115" s="304"/>
      <c r="IC115" s="304"/>
      <c r="ID115" s="304"/>
      <c r="IE115" s="304"/>
      <c r="IF115" s="304"/>
      <c r="IG115" s="304"/>
      <c r="IH115" s="304"/>
      <c r="II115" s="304"/>
      <c r="IJ115" s="304"/>
      <c r="IK115" s="304"/>
      <c r="IL115" s="304"/>
      <c r="IM115" s="304"/>
      <c r="IN115" s="304"/>
      <c r="IO115" s="304"/>
      <c r="IP115" s="304"/>
      <c r="IQ115" s="304"/>
      <c r="IR115" s="304"/>
      <c r="IS115" s="304"/>
      <c r="IT115" s="304"/>
      <c r="IU115" s="304"/>
      <c r="IV115" s="304"/>
    </row>
    <row r="116" spans="1:256" ht="23.25">
      <c r="A116" s="339" t="s">
        <v>189</v>
      </c>
      <c r="B116" s="340" t="s">
        <v>800</v>
      </c>
      <c r="C116" s="341">
        <f>+E116/E115</f>
        <v>0.10000001295918716</v>
      </c>
      <c r="D116" s="342"/>
      <c r="E116" s="343">
        <f>+E115-E117-E118-E119</f>
        <v>33070.861428571414</v>
      </c>
      <c r="F116" s="344"/>
      <c r="G116" s="345">
        <f t="shared" si="10"/>
        <v>0.9999999568027154</v>
      </c>
      <c r="H116" s="343">
        <f t="shared" si="15"/>
        <v>33070.86</v>
      </c>
      <c r="I116" s="346">
        <v>33070.86</v>
      </c>
      <c r="J116" s="347">
        <f t="shared" si="0"/>
        <v>0</v>
      </c>
      <c r="K116" s="348">
        <v>0</v>
      </c>
      <c r="M116" s="174">
        <f t="shared" si="1"/>
        <v>0</v>
      </c>
      <c r="O116" s="144"/>
      <c r="FH116" s="304"/>
      <c r="FI116" s="304"/>
      <c r="FJ116" s="304"/>
      <c r="FK116" s="304"/>
      <c r="FL116" s="304"/>
      <c r="FM116" s="304"/>
      <c r="FN116" s="304"/>
      <c r="FO116" s="304"/>
      <c r="FP116" s="304"/>
      <c r="FQ116" s="304"/>
      <c r="FR116" s="304"/>
      <c r="FS116" s="304"/>
      <c r="FT116" s="304"/>
      <c r="FU116" s="304"/>
      <c r="FV116" s="304"/>
      <c r="FW116" s="304"/>
      <c r="FX116" s="304"/>
      <c r="FY116" s="304"/>
      <c r="FZ116" s="304"/>
      <c r="GA116" s="304"/>
      <c r="GB116" s="304"/>
      <c r="GC116" s="304"/>
      <c r="GD116" s="304"/>
      <c r="GE116" s="304"/>
      <c r="GF116" s="304"/>
      <c r="GG116" s="304"/>
      <c r="GH116" s="304"/>
      <c r="GI116" s="304"/>
      <c r="GJ116" s="304"/>
      <c r="GK116" s="304"/>
      <c r="GL116" s="304"/>
      <c r="GM116" s="304"/>
      <c r="GN116" s="304"/>
      <c r="GO116" s="304"/>
      <c r="GP116" s="304"/>
      <c r="GQ116" s="304"/>
      <c r="GR116" s="304"/>
      <c r="GS116" s="304"/>
      <c r="GT116" s="304"/>
      <c r="GU116" s="304"/>
      <c r="GV116" s="304"/>
      <c r="GW116" s="304"/>
      <c r="GX116" s="304"/>
      <c r="GY116" s="304"/>
      <c r="GZ116" s="304"/>
      <c r="HA116" s="304"/>
      <c r="HB116" s="304"/>
      <c r="HC116" s="304"/>
      <c r="HD116" s="304"/>
      <c r="HE116" s="304"/>
      <c r="HF116" s="304"/>
      <c r="HG116" s="304"/>
      <c r="HH116" s="304"/>
      <c r="HI116" s="304"/>
      <c r="HJ116" s="304"/>
      <c r="HK116" s="304"/>
      <c r="HL116" s="304"/>
      <c r="HM116" s="304"/>
      <c r="HN116" s="304"/>
      <c r="HO116" s="304"/>
      <c r="HP116" s="304"/>
      <c r="HQ116" s="304"/>
      <c r="HR116" s="304"/>
      <c r="HS116" s="304"/>
      <c r="HT116" s="304"/>
      <c r="HU116" s="304"/>
      <c r="HV116" s="304"/>
      <c r="HW116" s="304"/>
      <c r="HX116" s="304"/>
      <c r="HY116" s="304"/>
      <c r="HZ116" s="304"/>
      <c r="IA116" s="304"/>
      <c r="IB116" s="304"/>
      <c r="IC116" s="304"/>
      <c r="ID116" s="304"/>
      <c r="IE116" s="304"/>
      <c r="IF116" s="304"/>
      <c r="IG116" s="304"/>
      <c r="IH116" s="304"/>
      <c r="II116" s="304"/>
      <c r="IJ116" s="304"/>
      <c r="IK116" s="304"/>
      <c r="IL116" s="304"/>
      <c r="IM116" s="304"/>
      <c r="IN116" s="304"/>
      <c r="IO116" s="304"/>
      <c r="IP116" s="304"/>
      <c r="IQ116" s="304"/>
      <c r="IR116" s="304"/>
      <c r="IS116" s="304"/>
      <c r="IT116" s="304"/>
      <c r="IU116" s="304"/>
      <c r="IV116" s="304"/>
    </row>
    <row r="117" spans="1:256" ht="23.25">
      <c r="A117" s="339" t="s">
        <v>190</v>
      </c>
      <c r="B117" s="340" t="s">
        <v>801</v>
      </c>
      <c r="C117" s="341">
        <f>+E117/E115</f>
        <v>0.29999999568027097</v>
      </c>
      <c r="D117" s="342"/>
      <c r="E117" s="343">
        <v>99212.57</v>
      </c>
      <c r="F117" s="344"/>
      <c r="G117" s="345">
        <f t="shared" si="10"/>
        <v>1</v>
      </c>
      <c r="H117" s="343">
        <f t="shared" si="15"/>
        <v>99212.57</v>
      </c>
      <c r="I117" s="346">
        <v>99212.57</v>
      </c>
      <c r="J117" s="347">
        <f t="shared" si="0"/>
        <v>0</v>
      </c>
      <c r="K117" s="348">
        <v>0</v>
      </c>
      <c r="M117" s="174">
        <f t="shared" si="1"/>
        <v>0</v>
      </c>
      <c r="O117" s="144"/>
      <c r="FH117" s="304"/>
      <c r="FI117" s="304"/>
      <c r="FJ117" s="304"/>
      <c r="FK117" s="304"/>
      <c r="FL117" s="304"/>
      <c r="FM117" s="304"/>
      <c r="FN117" s="304"/>
      <c r="FO117" s="304"/>
      <c r="FP117" s="304"/>
      <c r="FQ117" s="304"/>
      <c r="FR117" s="304"/>
      <c r="FS117" s="304"/>
      <c r="FT117" s="304"/>
      <c r="FU117" s="304"/>
      <c r="FV117" s="304"/>
      <c r="FW117" s="304"/>
      <c r="FX117" s="304"/>
      <c r="FY117" s="304"/>
      <c r="FZ117" s="304"/>
      <c r="GA117" s="304"/>
      <c r="GB117" s="304"/>
      <c r="GC117" s="304"/>
      <c r="GD117" s="304"/>
      <c r="GE117" s="304"/>
      <c r="GF117" s="304"/>
      <c r="GG117" s="304"/>
      <c r="GH117" s="304"/>
      <c r="GI117" s="304"/>
      <c r="GJ117" s="304"/>
      <c r="GK117" s="304"/>
      <c r="GL117" s="304"/>
      <c r="GM117" s="304"/>
      <c r="GN117" s="304"/>
      <c r="GO117" s="304"/>
      <c r="GP117" s="304"/>
      <c r="GQ117" s="304"/>
      <c r="GR117" s="304"/>
      <c r="GS117" s="304"/>
      <c r="GT117" s="304"/>
      <c r="GU117" s="304"/>
      <c r="GV117" s="304"/>
      <c r="GW117" s="304"/>
      <c r="GX117" s="304"/>
      <c r="GY117" s="304"/>
      <c r="GZ117" s="304"/>
      <c r="HA117" s="304"/>
      <c r="HB117" s="304"/>
      <c r="HC117" s="304"/>
      <c r="HD117" s="304"/>
      <c r="HE117" s="304"/>
      <c r="HF117" s="304"/>
      <c r="HG117" s="304"/>
      <c r="HH117" s="304"/>
      <c r="HI117" s="304"/>
      <c r="HJ117" s="304"/>
      <c r="HK117" s="304"/>
      <c r="HL117" s="304"/>
      <c r="HM117" s="304"/>
      <c r="HN117" s="304"/>
      <c r="HO117" s="304"/>
      <c r="HP117" s="304"/>
      <c r="HQ117" s="304"/>
      <c r="HR117" s="304"/>
      <c r="HS117" s="304"/>
      <c r="HT117" s="304"/>
      <c r="HU117" s="304"/>
      <c r="HV117" s="304"/>
      <c r="HW117" s="304"/>
      <c r="HX117" s="304"/>
      <c r="HY117" s="304"/>
      <c r="HZ117" s="304"/>
      <c r="IA117" s="304"/>
      <c r="IB117" s="304"/>
      <c r="IC117" s="304"/>
      <c r="ID117" s="304"/>
      <c r="IE117" s="304"/>
      <c r="IF117" s="304"/>
      <c r="IG117" s="304"/>
      <c r="IH117" s="304"/>
      <c r="II117" s="304"/>
      <c r="IJ117" s="304"/>
      <c r="IK117" s="304"/>
      <c r="IL117" s="304"/>
      <c r="IM117" s="304"/>
      <c r="IN117" s="304"/>
      <c r="IO117" s="304"/>
      <c r="IP117" s="304"/>
      <c r="IQ117" s="304"/>
      <c r="IR117" s="304"/>
      <c r="IS117" s="304"/>
      <c r="IT117" s="304"/>
      <c r="IU117" s="304"/>
      <c r="IV117" s="304"/>
    </row>
    <row r="118" spans="1:256" ht="23.25">
      <c r="A118" s="339" t="s">
        <v>191</v>
      </c>
      <c r="B118" s="340" t="s">
        <v>172</v>
      </c>
      <c r="C118" s="341">
        <f>+E118/E115</f>
        <v>0.40000000431972904</v>
      </c>
      <c r="D118" s="342"/>
      <c r="E118" s="343">
        <v>132283.43</v>
      </c>
      <c r="F118" s="344"/>
      <c r="G118" s="345">
        <f t="shared" si="10"/>
        <v>1</v>
      </c>
      <c r="H118" s="343">
        <f t="shared" si="15"/>
        <v>132283.43</v>
      </c>
      <c r="I118" s="346">
        <v>132283.43</v>
      </c>
      <c r="J118" s="347">
        <f t="shared" si="0"/>
        <v>0</v>
      </c>
      <c r="K118" s="348">
        <v>0</v>
      </c>
      <c r="M118" s="174">
        <f t="shared" si="1"/>
        <v>0</v>
      </c>
      <c r="O118" s="144"/>
      <c r="FH118" s="304"/>
      <c r="FI118" s="304"/>
      <c r="FJ118" s="304"/>
      <c r="FK118" s="304"/>
      <c r="FL118" s="304"/>
      <c r="FM118" s="304"/>
      <c r="FN118" s="304"/>
      <c r="FO118" s="304"/>
      <c r="FP118" s="304"/>
      <c r="FQ118" s="304"/>
      <c r="FR118" s="304"/>
      <c r="FS118" s="304"/>
      <c r="FT118" s="304"/>
      <c r="FU118" s="304"/>
      <c r="FV118" s="304"/>
      <c r="FW118" s="304"/>
      <c r="FX118" s="304"/>
      <c r="FY118" s="304"/>
      <c r="FZ118" s="304"/>
      <c r="GA118" s="304"/>
      <c r="GB118" s="304"/>
      <c r="GC118" s="304"/>
      <c r="GD118" s="304"/>
      <c r="GE118" s="304"/>
      <c r="GF118" s="304"/>
      <c r="GG118" s="304"/>
      <c r="GH118" s="304"/>
      <c r="GI118" s="304"/>
      <c r="GJ118" s="304"/>
      <c r="GK118" s="304"/>
      <c r="GL118" s="304"/>
      <c r="GM118" s="304"/>
      <c r="GN118" s="304"/>
      <c r="GO118" s="304"/>
      <c r="GP118" s="304"/>
      <c r="GQ118" s="304"/>
      <c r="GR118" s="304"/>
      <c r="GS118" s="304"/>
      <c r="GT118" s="304"/>
      <c r="GU118" s="304"/>
      <c r="GV118" s="304"/>
      <c r="GW118" s="304"/>
      <c r="GX118" s="304"/>
      <c r="GY118" s="304"/>
      <c r="GZ118" s="304"/>
      <c r="HA118" s="304"/>
      <c r="HB118" s="304"/>
      <c r="HC118" s="304"/>
      <c r="HD118" s="304"/>
      <c r="HE118" s="304"/>
      <c r="HF118" s="304"/>
      <c r="HG118" s="304"/>
      <c r="HH118" s="304"/>
      <c r="HI118" s="304"/>
      <c r="HJ118" s="304"/>
      <c r="HK118" s="304"/>
      <c r="HL118" s="304"/>
      <c r="HM118" s="304"/>
      <c r="HN118" s="304"/>
      <c r="HO118" s="304"/>
      <c r="HP118" s="304"/>
      <c r="HQ118" s="304"/>
      <c r="HR118" s="304"/>
      <c r="HS118" s="304"/>
      <c r="HT118" s="304"/>
      <c r="HU118" s="304"/>
      <c r="HV118" s="304"/>
      <c r="HW118" s="304"/>
      <c r="HX118" s="304"/>
      <c r="HY118" s="304"/>
      <c r="HZ118" s="304"/>
      <c r="IA118" s="304"/>
      <c r="IB118" s="304"/>
      <c r="IC118" s="304"/>
      <c r="ID118" s="304"/>
      <c r="IE118" s="304"/>
      <c r="IF118" s="304"/>
      <c r="IG118" s="304"/>
      <c r="IH118" s="304"/>
      <c r="II118" s="304"/>
      <c r="IJ118" s="304"/>
      <c r="IK118" s="304"/>
      <c r="IL118" s="304"/>
      <c r="IM118" s="304"/>
      <c r="IN118" s="304"/>
      <c r="IO118" s="304"/>
      <c r="IP118" s="304"/>
      <c r="IQ118" s="304"/>
      <c r="IR118" s="304"/>
      <c r="IS118" s="304"/>
      <c r="IT118" s="304"/>
      <c r="IU118" s="304"/>
      <c r="IV118" s="304"/>
    </row>
    <row r="119" spans="1:256" ht="23.25">
      <c r="A119" s="339" t="s">
        <v>192</v>
      </c>
      <c r="B119" s="340" t="s">
        <v>174</v>
      </c>
      <c r="C119" s="341">
        <f>+E119/E115</f>
        <v>0.19999998704081282</v>
      </c>
      <c r="D119" s="342"/>
      <c r="E119" s="343">
        <v>66141.71</v>
      </c>
      <c r="F119" s="344"/>
      <c r="G119" s="345">
        <f t="shared" si="10"/>
        <v>1</v>
      </c>
      <c r="H119" s="343">
        <f t="shared" si="15"/>
        <v>66141.71</v>
      </c>
      <c r="I119" s="346">
        <v>66141.71</v>
      </c>
      <c r="J119" s="347">
        <f t="shared" si="0"/>
        <v>0</v>
      </c>
      <c r="K119" s="348">
        <v>0</v>
      </c>
      <c r="L119" s="144" t="s">
        <v>802</v>
      </c>
      <c r="M119" s="174">
        <f t="shared" si="1"/>
        <v>0</v>
      </c>
      <c r="O119" s="144"/>
      <c r="FH119" s="304"/>
      <c r="FI119" s="304"/>
      <c r="FJ119" s="304"/>
      <c r="FK119" s="304"/>
      <c r="FL119" s="304"/>
      <c r="FM119" s="304"/>
      <c r="FN119" s="304"/>
      <c r="FO119" s="304"/>
      <c r="FP119" s="304"/>
      <c r="FQ119" s="304"/>
      <c r="FR119" s="304"/>
      <c r="FS119" s="304"/>
      <c r="FT119" s="304"/>
      <c r="FU119" s="304"/>
      <c r="FV119" s="304"/>
      <c r="FW119" s="304"/>
      <c r="FX119" s="304"/>
      <c r="FY119" s="304"/>
      <c r="FZ119" s="304"/>
      <c r="GA119" s="304"/>
      <c r="GB119" s="304"/>
      <c r="GC119" s="304"/>
      <c r="GD119" s="304"/>
      <c r="GE119" s="304"/>
      <c r="GF119" s="304"/>
      <c r="GG119" s="304"/>
      <c r="GH119" s="304"/>
      <c r="GI119" s="304"/>
      <c r="GJ119" s="304"/>
      <c r="GK119" s="304"/>
      <c r="GL119" s="304"/>
      <c r="GM119" s="304"/>
      <c r="GN119" s="304"/>
      <c r="GO119" s="304"/>
      <c r="GP119" s="304"/>
      <c r="GQ119" s="304"/>
      <c r="GR119" s="304"/>
      <c r="GS119" s="304"/>
      <c r="GT119" s="304"/>
      <c r="GU119" s="304"/>
      <c r="GV119" s="304"/>
      <c r="GW119" s="304"/>
      <c r="GX119" s="304"/>
      <c r="GY119" s="304"/>
      <c r="GZ119" s="304"/>
      <c r="HA119" s="304"/>
      <c r="HB119" s="304"/>
      <c r="HC119" s="304"/>
      <c r="HD119" s="304"/>
      <c r="HE119" s="304"/>
      <c r="HF119" s="304"/>
      <c r="HG119" s="304"/>
      <c r="HH119" s="304"/>
      <c r="HI119" s="304"/>
      <c r="HJ119" s="304"/>
      <c r="HK119" s="304"/>
      <c r="HL119" s="304"/>
      <c r="HM119" s="304"/>
      <c r="HN119" s="304"/>
      <c r="HO119" s="304"/>
      <c r="HP119" s="304"/>
      <c r="HQ119" s="304"/>
      <c r="HR119" s="304"/>
      <c r="HS119" s="304"/>
      <c r="HT119" s="304"/>
      <c r="HU119" s="304"/>
      <c r="HV119" s="304"/>
      <c r="HW119" s="304"/>
      <c r="HX119" s="304"/>
      <c r="HY119" s="304"/>
      <c r="HZ119" s="304"/>
      <c r="IA119" s="304"/>
      <c r="IB119" s="304"/>
      <c r="IC119" s="304"/>
      <c r="ID119" s="304"/>
      <c r="IE119" s="304"/>
      <c r="IF119" s="304"/>
      <c r="IG119" s="304"/>
      <c r="IH119" s="304"/>
      <c r="II119" s="304"/>
      <c r="IJ119" s="304"/>
      <c r="IK119" s="304"/>
      <c r="IL119" s="304"/>
      <c r="IM119" s="304"/>
      <c r="IN119" s="304"/>
      <c r="IO119" s="304"/>
      <c r="IP119" s="304"/>
      <c r="IQ119" s="304"/>
      <c r="IR119" s="304"/>
      <c r="IS119" s="304"/>
      <c r="IT119" s="304"/>
      <c r="IU119" s="304"/>
      <c r="IV119" s="304"/>
    </row>
    <row r="120" spans="1:256" ht="23.25">
      <c r="A120" s="309" t="s">
        <v>803</v>
      </c>
      <c r="B120" s="333" t="s">
        <v>194</v>
      </c>
      <c r="C120" s="334">
        <f>+E120/E99</f>
        <v>0.14285714285714285</v>
      </c>
      <c r="D120" s="335"/>
      <c r="E120" s="299">
        <f>+E115</f>
        <v>330708.5714285714</v>
      </c>
      <c r="F120" s="311"/>
      <c r="G120" s="336">
        <f t="shared" si="10"/>
        <v>1</v>
      </c>
      <c r="H120" s="299">
        <f t="shared" si="15"/>
        <v>330708.5714285714</v>
      </c>
      <c r="I120" s="337">
        <f>+I121+I122+I123+I124</f>
        <v>330708.5714285714</v>
      </c>
      <c r="J120" s="338">
        <f t="shared" si="0"/>
        <v>0</v>
      </c>
      <c r="K120" s="300">
        <f>SUM(K121:K124)</f>
        <v>0</v>
      </c>
      <c r="M120" s="174">
        <f t="shared" si="1"/>
        <v>0</v>
      </c>
      <c r="O120" s="144"/>
      <c r="FH120" s="304"/>
      <c r="FI120" s="304"/>
      <c r="FJ120" s="304"/>
      <c r="FK120" s="304"/>
      <c r="FL120" s="304"/>
      <c r="FM120" s="304"/>
      <c r="FN120" s="304"/>
      <c r="FO120" s="304"/>
      <c r="FP120" s="304"/>
      <c r="FQ120" s="304"/>
      <c r="FR120" s="304"/>
      <c r="FS120" s="304"/>
      <c r="FT120" s="304"/>
      <c r="FU120" s="304"/>
      <c r="FV120" s="304"/>
      <c r="FW120" s="304"/>
      <c r="FX120" s="304"/>
      <c r="FY120" s="304"/>
      <c r="FZ120" s="304"/>
      <c r="GA120" s="304"/>
      <c r="GB120" s="304"/>
      <c r="GC120" s="304"/>
      <c r="GD120" s="304"/>
      <c r="GE120" s="304"/>
      <c r="GF120" s="304"/>
      <c r="GG120" s="304"/>
      <c r="GH120" s="304"/>
      <c r="GI120" s="304"/>
      <c r="GJ120" s="304"/>
      <c r="GK120" s="304"/>
      <c r="GL120" s="304"/>
      <c r="GM120" s="304"/>
      <c r="GN120" s="304"/>
      <c r="GO120" s="304"/>
      <c r="GP120" s="304"/>
      <c r="GQ120" s="304"/>
      <c r="GR120" s="304"/>
      <c r="GS120" s="304"/>
      <c r="GT120" s="304"/>
      <c r="GU120" s="304"/>
      <c r="GV120" s="304"/>
      <c r="GW120" s="304"/>
      <c r="GX120" s="304"/>
      <c r="GY120" s="304"/>
      <c r="GZ120" s="304"/>
      <c r="HA120" s="304"/>
      <c r="HB120" s="304"/>
      <c r="HC120" s="304"/>
      <c r="HD120" s="304"/>
      <c r="HE120" s="304"/>
      <c r="HF120" s="304"/>
      <c r="HG120" s="304"/>
      <c r="HH120" s="304"/>
      <c r="HI120" s="304"/>
      <c r="HJ120" s="304"/>
      <c r="HK120" s="304"/>
      <c r="HL120" s="304"/>
      <c r="HM120" s="304"/>
      <c r="HN120" s="304"/>
      <c r="HO120" s="304"/>
      <c r="HP120" s="304"/>
      <c r="HQ120" s="304"/>
      <c r="HR120" s="304"/>
      <c r="HS120" s="304"/>
      <c r="HT120" s="304"/>
      <c r="HU120" s="304"/>
      <c r="HV120" s="304"/>
      <c r="HW120" s="304"/>
      <c r="HX120" s="304"/>
      <c r="HY120" s="304"/>
      <c r="HZ120" s="304"/>
      <c r="IA120" s="304"/>
      <c r="IB120" s="304"/>
      <c r="IC120" s="304"/>
      <c r="ID120" s="304"/>
      <c r="IE120" s="304"/>
      <c r="IF120" s="304"/>
      <c r="IG120" s="304"/>
      <c r="IH120" s="304"/>
      <c r="II120" s="304"/>
      <c r="IJ120" s="304"/>
      <c r="IK120" s="304"/>
      <c r="IL120" s="304"/>
      <c r="IM120" s="304"/>
      <c r="IN120" s="304"/>
      <c r="IO120" s="304"/>
      <c r="IP120" s="304"/>
      <c r="IQ120" s="304"/>
      <c r="IR120" s="304"/>
      <c r="IS120" s="304"/>
      <c r="IT120" s="304"/>
      <c r="IU120" s="304"/>
      <c r="IV120" s="304"/>
    </row>
    <row r="121" spans="1:256" ht="23.25">
      <c r="A121" s="339" t="s">
        <v>195</v>
      </c>
      <c r="B121" s="340" t="s">
        <v>800</v>
      </c>
      <c r="C121" s="341">
        <f>+E121/E120</f>
        <v>0.10000001295918716</v>
      </c>
      <c r="D121" s="342"/>
      <c r="E121" s="343">
        <f>+E120-E122-E123-E124</f>
        <v>33070.861428571414</v>
      </c>
      <c r="F121" s="344"/>
      <c r="G121" s="345">
        <f t="shared" si="10"/>
        <v>1</v>
      </c>
      <c r="H121" s="343">
        <f t="shared" si="15"/>
        <v>33070.861428571414</v>
      </c>
      <c r="I121" s="346">
        <f aca="true" t="shared" si="17" ref="I121:I122">+E121</f>
        <v>33070.861428571414</v>
      </c>
      <c r="J121" s="347">
        <f t="shared" si="0"/>
        <v>0</v>
      </c>
      <c r="K121" s="348">
        <v>0</v>
      </c>
      <c r="M121" s="174">
        <f t="shared" si="1"/>
        <v>0</v>
      </c>
      <c r="O121" s="144"/>
      <c r="FH121" s="304"/>
      <c r="FI121" s="304"/>
      <c r="FJ121" s="304"/>
      <c r="FK121" s="304"/>
      <c r="FL121" s="304"/>
      <c r="FM121" s="304"/>
      <c r="FN121" s="304"/>
      <c r="FO121" s="304"/>
      <c r="FP121" s="304"/>
      <c r="FQ121" s="304"/>
      <c r="FR121" s="304"/>
      <c r="FS121" s="304"/>
      <c r="FT121" s="304"/>
      <c r="FU121" s="304"/>
      <c r="FV121" s="304"/>
      <c r="FW121" s="304"/>
      <c r="FX121" s="304"/>
      <c r="FY121" s="304"/>
      <c r="FZ121" s="304"/>
      <c r="GA121" s="304"/>
      <c r="GB121" s="304"/>
      <c r="GC121" s="304"/>
      <c r="GD121" s="304"/>
      <c r="GE121" s="304"/>
      <c r="GF121" s="304"/>
      <c r="GG121" s="304"/>
      <c r="GH121" s="304"/>
      <c r="GI121" s="304"/>
      <c r="GJ121" s="304"/>
      <c r="GK121" s="304"/>
      <c r="GL121" s="304"/>
      <c r="GM121" s="304"/>
      <c r="GN121" s="304"/>
      <c r="GO121" s="304"/>
      <c r="GP121" s="304"/>
      <c r="GQ121" s="304"/>
      <c r="GR121" s="304"/>
      <c r="GS121" s="304"/>
      <c r="GT121" s="304"/>
      <c r="GU121" s="304"/>
      <c r="GV121" s="304"/>
      <c r="GW121" s="304"/>
      <c r="GX121" s="304"/>
      <c r="GY121" s="304"/>
      <c r="GZ121" s="304"/>
      <c r="HA121" s="304"/>
      <c r="HB121" s="304"/>
      <c r="HC121" s="304"/>
      <c r="HD121" s="304"/>
      <c r="HE121" s="304"/>
      <c r="HF121" s="304"/>
      <c r="HG121" s="304"/>
      <c r="HH121" s="304"/>
      <c r="HI121" s="304"/>
      <c r="HJ121" s="304"/>
      <c r="HK121" s="304"/>
      <c r="HL121" s="304"/>
      <c r="HM121" s="304"/>
      <c r="HN121" s="304"/>
      <c r="HO121" s="304"/>
      <c r="HP121" s="304"/>
      <c r="HQ121" s="304"/>
      <c r="HR121" s="304"/>
      <c r="HS121" s="304"/>
      <c r="HT121" s="304"/>
      <c r="HU121" s="304"/>
      <c r="HV121" s="304"/>
      <c r="HW121" s="304"/>
      <c r="HX121" s="304"/>
      <c r="HY121" s="304"/>
      <c r="HZ121" s="304"/>
      <c r="IA121" s="304"/>
      <c r="IB121" s="304"/>
      <c r="IC121" s="304"/>
      <c r="ID121" s="304"/>
      <c r="IE121" s="304"/>
      <c r="IF121" s="304"/>
      <c r="IG121" s="304"/>
      <c r="IH121" s="304"/>
      <c r="II121" s="304"/>
      <c r="IJ121" s="304"/>
      <c r="IK121" s="304"/>
      <c r="IL121" s="304"/>
      <c r="IM121" s="304"/>
      <c r="IN121" s="304"/>
      <c r="IO121" s="304"/>
      <c r="IP121" s="304"/>
      <c r="IQ121" s="304"/>
      <c r="IR121" s="304"/>
      <c r="IS121" s="304"/>
      <c r="IT121" s="304"/>
      <c r="IU121" s="304"/>
      <c r="IV121" s="304"/>
    </row>
    <row r="122" spans="1:256" ht="23.25">
      <c r="A122" s="339" t="s">
        <v>196</v>
      </c>
      <c r="B122" s="340" t="s">
        <v>801</v>
      </c>
      <c r="C122" s="341">
        <f>+E122/E120</f>
        <v>0.29999999568027097</v>
      </c>
      <c r="D122" s="342"/>
      <c r="E122" s="343">
        <v>99212.57</v>
      </c>
      <c r="F122" s="344"/>
      <c r="G122" s="345">
        <f t="shared" si="10"/>
        <v>1</v>
      </c>
      <c r="H122" s="343">
        <f t="shared" si="15"/>
        <v>99212.57</v>
      </c>
      <c r="I122" s="346">
        <f t="shared" si="17"/>
        <v>99212.57</v>
      </c>
      <c r="J122" s="347">
        <f t="shared" si="0"/>
        <v>0</v>
      </c>
      <c r="K122" s="348">
        <v>0</v>
      </c>
      <c r="M122" s="174">
        <f t="shared" si="1"/>
        <v>0</v>
      </c>
      <c r="O122" s="144"/>
      <c r="FH122" s="304"/>
      <c r="FI122" s="304"/>
      <c r="FJ122" s="304"/>
      <c r="FK122" s="304"/>
      <c r="FL122" s="304"/>
      <c r="FM122" s="304"/>
      <c r="FN122" s="304"/>
      <c r="FO122" s="304"/>
      <c r="FP122" s="304"/>
      <c r="FQ122" s="304"/>
      <c r="FR122" s="304"/>
      <c r="FS122" s="304"/>
      <c r="FT122" s="304"/>
      <c r="FU122" s="304"/>
      <c r="FV122" s="304"/>
      <c r="FW122" s="304"/>
      <c r="FX122" s="304"/>
      <c r="FY122" s="304"/>
      <c r="FZ122" s="304"/>
      <c r="GA122" s="304"/>
      <c r="GB122" s="304"/>
      <c r="GC122" s="304"/>
      <c r="GD122" s="304"/>
      <c r="GE122" s="304"/>
      <c r="GF122" s="304"/>
      <c r="GG122" s="304"/>
      <c r="GH122" s="304"/>
      <c r="GI122" s="304"/>
      <c r="GJ122" s="304"/>
      <c r="GK122" s="304"/>
      <c r="GL122" s="304"/>
      <c r="GM122" s="304"/>
      <c r="GN122" s="304"/>
      <c r="GO122" s="304"/>
      <c r="GP122" s="304"/>
      <c r="GQ122" s="304"/>
      <c r="GR122" s="304"/>
      <c r="GS122" s="304"/>
      <c r="GT122" s="304"/>
      <c r="GU122" s="304"/>
      <c r="GV122" s="304"/>
      <c r="GW122" s="304"/>
      <c r="GX122" s="304"/>
      <c r="GY122" s="304"/>
      <c r="GZ122" s="304"/>
      <c r="HA122" s="304"/>
      <c r="HB122" s="304"/>
      <c r="HC122" s="304"/>
      <c r="HD122" s="304"/>
      <c r="HE122" s="304"/>
      <c r="HF122" s="304"/>
      <c r="HG122" s="304"/>
      <c r="HH122" s="304"/>
      <c r="HI122" s="304"/>
      <c r="HJ122" s="304"/>
      <c r="HK122" s="304"/>
      <c r="HL122" s="304"/>
      <c r="HM122" s="304"/>
      <c r="HN122" s="304"/>
      <c r="HO122" s="304"/>
      <c r="HP122" s="304"/>
      <c r="HQ122" s="304"/>
      <c r="HR122" s="304"/>
      <c r="HS122" s="304"/>
      <c r="HT122" s="304"/>
      <c r="HU122" s="304"/>
      <c r="HV122" s="304"/>
      <c r="HW122" s="304"/>
      <c r="HX122" s="304"/>
      <c r="HY122" s="304"/>
      <c r="HZ122" s="304"/>
      <c r="IA122" s="304"/>
      <c r="IB122" s="304"/>
      <c r="IC122" s="304"/>
      <c r="ID122" s="304"/>
      <c r="IE122" s="304"/>
      <c r="IF122" s="304"/>
      <c r="IG122" s="304"/>
      <c r="IH122" s="304"/>
      <c r="II122" s="304"/>
      <c r="IJ122" s="304"/>
      <c r="IK122" s="304"/>
      <c r="IL122" s="304"/>
      <c r="IM122" s="304"/>
      <c r="IN122" s="304"/>
      <c r="IO122" s="304"/>
      <c r="IP122" s="304"/>
      <c r="IQ122" s="304"/>
      <c r="IR122" s="304"/>
      <c r="IS122" s="304"/>
      <c r="IT122" s="304"/>
      <c r="IU122" s="304"/>
      <c r="IV122" s="304"/>
    </row>
    <row r="123" spans="1:256" ht="23.25">
      <c r="A123" s="339" t="s">
        <v>197</v>
      </c>
      <c r="B123" s="340" t="s">
        <v>172</v>
      </c>
      <c r="C123" s="341">
        <f>+E123/E120</f>
        <v>0.40000000431972904</v>
      </c>
      <c r="D123" s="342"/>
      <c r="E123" s="343">
        <v>132283.43</v>
      </c>
      <c r="F123" s="344"/>
      <c r="G123" s="345">
        <f t="shared" si="10"/>
        <v>1</v>
      </c>
      <c r="H123" s="343">
        <f t="shared" si="15"/>
        <v>132283.43</v>
      </c>
      <c r="I123" s="346">
        <v>132283.43</v>
      </c>
      <c r="J123" s="347">
        <f t="shared" si="0"/>
        <v>0</v>
      </c>
      <c r="K123" s="348">
        <v>0</v>
      </c>
      <c r="M123" s="174">
        <f t="shared" si="1"/>
        <v>0</v>
      </c>
      <c r="O123" s="144"/>
      <c r="FH123" s="304"/>
      <c r="FI123" s="304"/>
      <c r="FJ123" s="304"/>
      <c r="FK123" s="304"/>
      <c r="FL123" s="304"/>
      <c r="FM123" s="304"/>
      <c r="FN123" s="304"/>
      <c r="FO123" s="304"/>
      <c r="FP123" s="304"/>
      <c r="FQ123" s="304"/>
      <c r="FR123" s="304"/>
      <c r="FS123" s="304"/>
      <c r="FT123" s="304"/>
      <c r="FU123" s="304"/>
      <c r="FV123" s="304"/>
      <c r="FW123" s="304"/>
      <c r="FX123" s="304"/>
      <c r="FY123" s="304"/>
      <c r="FZ123" s="304"/>
      <c r="GA123" s="304"/>
      <c r="GB123" s="304"/>
      <c r="GC123" s="304"/>
      <c r="GD123" s="304"/>
      <c r="GE123" s="304"/>
      <c r="GF123" s="304"/>
      <c r="GG123" s="304"/>
      <c r="GH123" s="304"/>
      <c r="GI123" s="304"/>
      <c r="GJ123" s="304"/>
      <c r="GK123" s="304"/>
      <c r="GL123" s="304"/>
      <c r="GM123" s="304"/>
      <c r="GN123" s="304"/>
      <c r="GO123" s="304"/>
      <c r="GP123" s="304"/>
      <c r="GQ123" s="304"/>
      <c r="GR123" s="304"/>
      <c r="GS123" s="304"/>
      <c r="GT123" s="304"/>
      <c r="GU123" s="304"/>
      <c r="GV123" s="304"/>
      <c r="GW123" s="304"/>
      <c r="GX123" s="304"/>
      <c r="GY123" s="304"/>
      <c r="GZ123" s="304"/>
      <c r="HA123" s="304"/>
      <c r="HB123" s="304"/>
      <c r="HC123" s="304"/>
      <c r="HD123" s="304"/>
      <c r="HE123" s="304"/>
      <c r="HF123" s="304"/>
      <c r="HG123" s="304"/>
      <c r="HH123" s="304"/>
      <c r="HI123" s="304"/>
      <c r="HJ123" s="304"/>
      <c r="HK123" s="304"/>
      <c r="HL123" s="304"/>
      <c r="HM123" s="304"/>
      <c r="HN123" s="304"/>
      <c r="HO123" s="304"/>
      <c r="HP123" s="304"/>
      <c r="HQ123" s="304"/>
      <c r="HR123" s="304"/>
      <c r="HS123" s="304"/>
      <c r="HT123" s="304"/>
      <c r="HU123" s="304"/>
      <c r="HV123" s="304"/>
      <c r="HW123" s="304"/>
      <c r="HX123" s="304"/>
      <c r="HY123" s="304"/>
      <c r="HZ123" s="304"/>
      <c r="IA123" s="304"/>
      <c r="IB123" s="304"/>
      <c r="IC123" s="304"/>
      <c r="ID123" s="304"/>
      <c r="IE123" s="304"/>
      <c r="IF123" s="304"/>
      <c r="IG123" s="304"/>
      <c r="IH123" s="304"/>
      <c r="II123" s="304"/>
      <c r="IJ123" s="304"/>
      <c r="IK123" s="304"/>
      <c r="IL123" s="304"/>
      <c r="IM123" s="304"/>
      <c r="IN123" s="304"/>
      <c r="IO123" s="304"/>
      <c r="IP123" s="304"/>
      <c r="IQ123" s="304"/>
      <c r="IR123" s="304"/>
      <c r="IS123" s="304"/>
      <c r="IT123" s="304"/>
      <c r="IU123" s="304"/>
      <c r="IV123" s="304"/>
    </row>
    <row r="124" spans="1:256" ht="23.25">
      <c r="A124" s="339" t="s">
        <v>198</v>
      </c>
      <c r="B124" s="340" t="s">
        <v>174</v>
      </c>
      <c r="C124" s="341">
        <f>+E124/E120</f>
        <v>0.19999998704081282</v>
      </c>
      <c r="D124" s="342"/>
      <c r="E124" s="343">
        <v>66141.71</v>
      </c>
      <c r="F124" s="344"/>
      <c r="G124" s="345">
        <f t="shared" si="10"/>
        <v>1</v>
      </c>
      <c r="H124" s="343">
        <f t="shared" si="15"/>
        <v>66141.71</v>
      </c>
      <c r="I124" s="346">
        <v>66141.71</v>
      </c>
      <c r="J124" s="347">
        <f t="shared" si="0"/>
        <v>0</v>
      </c>
      <c r="K124" s="348">
        <v>0</v>
      </c>
      <c r="M124" s="174">
        <f t="shared" si="1"/>
        <v>0</v>
      </c>
      <c r="O124" s="144"/>
      <c r="FH124" s="304"/>
      <c r="FI124" s="304"/>
      <c r="FJ124" s="304"/>
      <c r="FK124" s="304"/>
      <c r="FL124" s="304"/>
      <c r="FM124" s="304"/>
      <c r="FN124" s="304"/>
      <c r="FO124" s="304"/>
      <c r="FP124" s="304"/>
      <c r="FQ124" s="304"/>
      <c r="FR124" s="304"/>
      <c r="FS124" s="304"/>
      <c r="FT124" s="304"/>
      <c r="FU124" s="304"/>
      <c r="FV124" s="304"/>
      <c r="FW124" s="304"/>
      <c r="FX124" s="304"/>
      <c r="FY124" s="304"/>
      <c r="FZ124" s="304"/>
      <c r="GA124" s="304"/>
      <c r="GB124" s="304"/>
      <c r="GC124" s="304"/>
      <c r="GD124" s="304"/>
      <c r="GE124" s="304"/>
      <c r="GF124" s="304"/>
      <c r="GG124" s="304"/>
      <c r="GH124" s="304"/>
      <c r="GI124" s="304"/>
      <c r="GJ124" s="304"/>
      <c r="GK124" s="304"/>
      <c r="GL124" s="304"/>
      <c r="GM124" s="304"/>
      <c r="GN124" s="304"/>
      <c r="GO124" s="304"/>
      <c r="GP124" s="304"/>
      <c r="GQ124" s="304"/>
      <c r="GR124" s="304"/>
      <c r="GS124" s="304"/>
      <c r="GT124" s="304"/>
      <c r="GU124" s="304"/>
      <c r="GV124" s="304"/>
      <c r="GW124" s="304"/>
      <c r="GX124" s="304"/>
      <c r="GY124" s="304"/>
      <c r="GZ124" s="304"/>
      <c r="HA124" s="304"/>
      <c r="HB124" s="304"/>
      <c r="HC124" s="304"/>
      <c r="HD124" s="304"/>
      <c r="HE124" s="304"/>
      <c r="HF124" s="304"/>
      <c r="HG124" s="304"/>
      <c r="HH124" s="304"/>
      <c r="HI124" s="304"/>
      <c r="HJ124" s="304"/>
      <c r="HK124" s="304"/>
      <c r="HL124" s="304"/>
      <c r="HM124" s="304"/>
      <c r="HN124" s="304"/>
      <c r="HO124" s="304"/>
      <c r="HP124" s="304"/>
      <c r="HQ124" s="304"/>
      <c r="HR124" s="304"/>
      <c r="HS124" s="304"/>
      <c r="HT124" s="304"/>
      <c r="HU124" s="304"/>
      <c r="HV124" s="304"/>
      <c r="HW124" s="304"/>
      <c r="HX124" s="304"/>
      <c r="HY124" s="304"/>
      <c r="HZ124" s="304"/>
      <c r="IA124" s="304"/>
      <c r="IB124" s="304"/>
      <c r="IC124" s="304"/>
      <c r="ID124" s="304"/>
      <c r="IE124" s="304"/>
      <c r="IF124" s="304"/>
      <c r="IG124" s="304"/>
      <c r="IH124" s="304"/>
      <c r="II124" s="304"/>
      <c r="IJ124" s="304"/>
      <c r="IK124" s="304"/>
      <c r="IL124" s="304"/>
      <c r="IM124" s="304"/>
      <c r="IN124" s="304"/>
      <c r="IO124" s="304"/>
      <c r="IP124" s="304"/>
      <c r="IQ124" s="304"/>
      <c r="IR124" s="304"/>
      <c r="IS124" s="304"/>
      <c r="IT124" s="304"/>
      <c r="IU124" s="304"/>
      <c r="IV124" s="304"/>
    </row>
    <row r="125" spans="1:256" ht="23.25">
      <c r="A125" s="309" t="s">
        <v>199</v>
      </c>
      <c r="B125" s="333" t="s">
        <v>200</v>
      </c>
      <c r="C125" s="334">
        <f>+E125/E99</f>
        <v>0.14285714285714285</v>
      </c>
      <c r="D125" s="335"/>
      <c r="E125" s="299">
        <f>+E120</f>
        <v>330708.5714285714</v>
      </c>
      <c r="F125" s="311"/>
      <c r="G125" s="336">
        <f t="shared" si="10"/>
        <v>0.999999995680271</v>
      </c>
      <c r="H125" s="299">
        <f t="shared" si="15"/>
        <v>330708.57</v>
      </c>
      <c r="I125" s="337">
        <f>+I126+I127+I128+I129</f>
        <v>330708.57</v>
      </c>
      <c r="J125" s="338">
        <f t="shared" si="0"/>
        <v>0</v>
      </c>
      <c r="K125" s="300">
        <f>SUM(K126:K129)</f>
        <v>0</v>
      </c>
      <c r="M125" s="174">
        <f t="shared" si="1"/>
        <v>0</v>
      </c>
      <c r="O125" s="144"/>
      <c r="FH125" s="304"/>
      <c r="FI125" s="304"/>
      <c r="FJ125" s="304"/>
      <c r="FK125" s="304"/>
      <c r="FL125" s="304"/>
      <c r="FM125" s="304"/>
      <c r="FN125" s="304"/>
      <c r="FO125" s="304"/>
      <c r="FP125" s="304"/>
      <c r="FQ125" s="304"/>
      <c r="FR125" s="304"/>
      <c r="FS125" s="304"/>
      <c r="FT125" s="304"/>
      <c r="FU125" s="304"/>
      <c r="FV125" s="304"/>
      <c r="FW125" s="304"/>
      <c r="FX125" s="304"/>
      <c r="FY125" s="304"/>
      <c r="FZ125" s="304"/>
      <c r="GA125" s="304"/>
      <c r="GB125" s="304"/>
      <c r="GC125" s="304"/>
      <c r="GD125" s="304"/>
      <c r="GE125" s="304"/>
      <c r="GF125" s="304"/>
      <c r="GG125" s="304"/>
      <c r="GH125" s="304"/>
      <c r="GI125" s="304"/>
      <c r="GJ125" s="304"/>
      <c r="GK125" s="304"/>
      <c r="GL125" s="304"/>
      <c r="GM125" s="304"/>
      <c r="GN125" s="304"/>
      <c r="GO125" s="304"/>
      <c r="GP125" s="304"/>
      <c r="GQ125" s="304"/>
      <c r="GR125" s="304"/>
      <c r="GS125" s="304"/>
      <c r="GT125" s="304"/>
      <c r="GU125" s="304"/>
      <c r="GV125" s="304"/>
      <c r="GW125" s="304"/>
      <c r="GX125" s="304"/>
      <c r="GY125" s="304"/>
      <c r="GZ125" s="304"/>
      <c r="HA125" s="304"/>
      <c r="HB125" s="304"/>
      <c r="HC125" s="304"/>
      <c r="HD125" s="304"/>
      <c r="HE125" s="304"/>
      <c r="HF125" s="304"/>
      <c r="HG125" s="304"/>
      <c r="HH125" s="304"/>
      <c r="HI125" s="304"/>
      <c r="HJ125" s="304"/>
      <c r="HK125" s="304"/>
      <c r="HL125" s="304"/>
      <c r="HM125" s="304"/>
      <c r="HN125" s="304"/>
      <c r="HO125" s="304"/>
      <c r="HP125" s="304"/>
      <c r="HQ125" s="304"/>
      <c r="HR125" s="304"/>
      <c r="HS125" s="304"/>
      <c r="HT125" s="304"/>
      <c r="HU125" s="304"/>
      <c r="HV125" s="304"/>
      <c r="HW125" s="304"/>
      <c r="HX125" s="304"/>
      <c r="HY125" s="304"/>
      <c r="HZ125" s="304"/>
      <c r="IA125" s="304"/>
      <c r="IB125" s="304"/>
      <c r="IC125" s="304"/>
      <c r="ID125" s="304"/>
      <c r="IE125" s="304"/>
      <c r="IF125" s="304"/>
      <c r="IG125" s="304"/>
      <c r="IH125" s="304"/>
      <c r="II125" s="304"/>
      <c r="IJ125" s="304"/>
      <c r="IK125" s="304"/>
      <c r="IL125" s="304"/>
      <c r="IM125" s="304"/>
      <c r="IN125" s="304"/>
      <c r="IO125" s="304"/>
      <c r="IP125" s="304"/>
      <c r="IQ125" s="304"/>
      <c r="IR125" s="304"/>
      <c r="IS125" s="304"/>
      <c r="IT125" s="304"/>
      <c r="IU125" s="304"/>
      <c r="IV125" s="304"/>
    </row>
    <row r="126" spans="1:256" ht="23.25">
      <c r="A126" s="339" t="s">
        <v>201</v>
      </c>
      <c r="B126" s="340" t="s">
        <v>800</v>
      </c>
      <c r="C126" s="341">
        <f>+E126/E125</f>
        <v>0.10000001295918716</v>
      </c>
      <c r="D126" s="342"/>
      <c r="E126" s="343">
        <f>+E125-E127-E128-E129</f>
        <v>33070.861428571414</v>
      </c>
      <c r="F126" s="344"/>
      <c r="G126" s="345">
        <f t="shared" si="10"/>
        <v>0.9999999568027154</v>
      </c>
      <c r="H126" s="343">
        <f t="shared" si="15"/>
        <v>33070.86</v>
      </c>
      <c r="I126" s="346">
        <v>33070.86</v>
      </c>
      <c r="J126" s="347">
        <f t="shared" si="0"/>
        <v>0</v>
      </c>
      <c r="K126" s="348">
        <v>0</v>
      </c>
      <c r="M126" s="174">
        <f t="shared" si="1"/>
        <v>0</v>
      </c>
      <c r="O126" s="144"/>
      <c r="FH126" s="304"/>
      <c r="FI126" s="304"/>
      <c r="FJ126" s="304"/>
      <c r="FK126" s="304"/>
      <c r="FL126" s="304"/>
      <c r="FM126" s="304"/>
      <c r="FN126" s="304"/>
      <c r="FO126" s="304"/>
      <c r="FP126" s="304"/>
      <c r="FQ126" s="304"/>
      <c r="FR126" s="304"/>
      <c r="FS126" s="304"/>
      <c r="FT126" s="304"/>
      <c r="FU126" s="304"/>
      <c r="FV126" s="304"/>
      <c r="FW126" s="304"/>
      <c r="FX126" s="304"/>
      <c r="FY126" s="304"/>
      <c r="FZ126" s="304"/>
      <c r="GA126" s="304"/>
      <c r="GB126" s="304"/>
      <c r="GC126" s="304"/>
      <c r="GD126" s="304"/>
      <c r="GE126" s="304"/>
      <c r="GF126" s="304"/>
      <c r="GG126" s="304"/>
      <c r="GH126" s="304"/>
      <c r="GI126" s="304"/>
      <c r="GJ126" s="304"/>
      <c r="GK126" s="304"/>
      <c r="GL126" s="304"/>
      <c r="GM126" s="304"/>
      <c r="GN126" s="304"/>
      <c r="GO126" s="304"/>
      <c r="GP126" s="304"/>
      <c r="GQ126" s="304"/>
      <c r="GR126" s="304"/>
      <c r="GS126" s="304"/>
      <c r="GT126" s="304"/>
      <c r="GU126" s="304"/>
      <c r="GV126" s="304"/>
      <c r="GW126" s="304"/>
      <c r="GX126" s="304"/>
      <c r="GY126" s="304"/>
      <c r="GZ126" s="304"/>
      <c r="HA126" s="304"/>
      <c r="HB126" s="304"/>
      <c r="HC126" s="304"/>
      <c r="HD126" s="304"/>
      <c r="HE126" s="304"/>
      <c r="HF126" s="304"/>
      <c r="HG126" s="304"/>
      <c r="HH126" s="304"/>
      <c r="HI126" s="304"/>
      <c r="HJ126" s="304"/>
      <c r="HK126" s="304"/>
      <c r="HL126" s="304"/>
      <c r="HM126" s="304"/>
      <c r="HN126" s="304"/>
      <c r="HO126" s="304"/>
      <c r="HP126" s="304"/>
      <c r="HQ126" s="304"/>
      <c r="HR126" s="304"/>
      <c r="HS126" s="304"/>
      <c r="HT126" s="304"/>
      <c r="HU126" s="304"/>
      <c r="HV126" s="304"/>
      <c r="HW126" s="304"/>
      <c r="HX126" s="304"/>
      <c r="HY126" s="304"/>
      <c r="HZ126" s="304"/>
      <c r="IA126" s="304"/>
      <c r="IB126" s="304"/>
      <c r="IC126" s="304"/>
      <c r="ID126" s="304"/>
      <c r="IE126" s="304"/>
      <c r="IF126" s="304"/>
      <c r="IG126" s="304"/>
      <c r="IH126" s="304"/>
      <c r="II126" s="304"/>
      <c r="IJ126" s="304"/>
      <c r="IK126" s="304"/>
      <c r="IL126" s="304"/>
      <c r="IM126" s="304"/>
      <c r="IN126" s="304"/>
      <c r="IO126" s="304"/>
      <c r="IP126" s="304"/>
      <c r="IQ126" s="304"/>
      <c r="IR126" s="304"/>
      <c r="IS126" s="304"/>
      <c r="IT126" s="304"/>
      <c r="IU126" s="304"/>
      <c r="IV126" s="304"/>
    </row>
    <row r="127" spans="1:256" ht="23.25">
      <c r="A127" s="339" t="s">
        <v>202</v>
      </c>
      <c r="B127" s="340" t="s">
        <v>801</v>
      </c>
      <c r="C127" s="341">
        <f>+E127/E125</f>
        <v>0.29999999568027097</v>
      </c>
      <c r="D127" s="342"/>
      <c r="E127" s="343">
        <v>99212.57</v>
      </c>
      <c r="F127" s="344"/>
      <c r="G127" s="345">
        <f t="shared" si="10"/>
        <v>1</v>
      </c>
      <c r="H127" s="343">
        <f t="shared" si="15"/>
        <v>99212.57</v>
      </c>
      <c r="I127" s="346">
        <v>99212.57</v>
      </c>
      <c r="J127" s="347">
        <f t="shared" si="0"/>
        <v>0</v>
      </c>
      <c r="K127" s="348">
        <v>0</v>
      </c>
      <c r="M127" s="174">
        <f t="shared" si="1"/>
        <v>0</v>
      </c>
      <c r="O127" s="144"/>
      <c r="FH127" s="304"/>
      <c r="FI127" s="304"/>
      <c r="FJ127" s="304"/>
      <c r="FK127" s="304"/>
      <c r="FL127" s="304"/>
      <c r="FM127" s="304"/>
      <c r="FN127" s="304"/>
      <c r="FO127" s="304"/>
      <c r="FP127" s="304"/>
      <c r="FQ127" s="304"/>
      <c r="FR127" s="304"/>
      <c r="FS127" s="304"/>
      <c r="FT127" s="304"/>
      <c r="FU127" s="304"/>
      <c r="FV127" s="304"/>
      <c r="FW127" s="304"/>
      <c r="FX127" s="304"/>
      <c r="FY127" s="304"/>
      <c r="FZ127" s="304"/>
      <c r="GA127" s="304"/>
      <c r="GB127" s="304"/>
      <c r="GC127" s="304"/>
      <c r="GD127" s="304"/>
      <c r="GE127" s="304"/>
      <c r="GF127" s="304"/>
      <c r="GG127" s="304"/>
      <c r="GH127" s="304"/>
      <c r="GI127" s="304"/>
      <c r="GJ127" s="304"/>
      <c r="GK127" s="304"/>
      <c r="GL127" s="304"/>
      <c r="GM127" s="304"/>
      <c r="GN127" s="304"/>
      <c r="GO127" s="304"/>
      <c r="GP127" s="304"/>
      <c r="GQ127" s="304"/>
      <c r="GR127" s="304"/>
      <c r="GS127" s="304"/>
      <c r="GT127" s="304"/>
      <c r="GU127" s="304"/>
      <c r="GV127" s="304"/>
      <c r="GW127" s="304"/>
      <c r="GX127" s="304"/>
      <c r="GY127" s="304"/>
      <c r="GZ127" s="304"/>
      <c r="HA127" s="304"/>
      <c r="HB127" s="304"/>
      <c r="HC127" s="304"/>
      <c r="HD127" s="304"/>
      <c r="HE127" s="304"/>
      <c r="HF127" s="304"/>
      <c r="HG127" s="304"/>
      <c r="HH127" s="304"/>
      <c r="HI127" s="304"/>
      <c r="HJ127" s="304"/>
      <c r="HK127" s="304"/>
      <c r="HL127" s="304"/>
      <c r="HM127" s="304"/>
      <c r="HN127" s="304"/>
      <c r="HO127" s="304"/>
      <c r="HP127" s="304"/>
      <c r="HQ127" s="304"/>
      <c r="HR127" s="304"/>
      <c r="HS127" s="304"/>
      <c r="HT127" s="304"/>
      <c r="HU127" s="304"/>
      <c r="HV127" s="304"/>
      <c r="HW127" s="304"/>
      <c r="HX127" s="304"/>
      <c r="HY127" s="304"/>
      <c r="HZ127" s="304"/>
      <c r="IA127" s="304"/>
      <c r="IB127" s="304"/>
      <c r="IC127" s="304"/>
      <c r="ID127" s="304"/>
      <c r="IE127" s="304"/>
      <c r="IF127" s="304"/>
      <c r="IG127" s="304"/>
      <c r="IH127" s="304"/>
      <c r="II127" s="304"/>
      <c r="IJ127" s="304"/>
      <c r="IK127" s="304"/>
      <c r="IL127" s="304"/>
      <c r="IM127" s="304"/>
      <c r="IN127" s="304"/>
      <c r="IO127" s="304"/>
      <c r="IP127" s="304"/>
      <c r="IQ127" s="304"/>
      <c r="IR127" s="304"/>
      <c r="IS127" s="304"/>
      <c r="IT127" s="304"/>
      <c r="IU127" s="304"/>
      <c r="IV127" s="304"/>
    </row>
    <row r="128" spans="1:256" ht="23.25">
      <c r="A128" s="339" t="s">
        <v>203</v>
      </c>
      <c r="B128" s="340" t="s">
        <v>172</v>
      </c>
      <c r="C128" s="341">
        <f>+E128/E125</f>
        <v>0.40000000431972904</v>
      </c>
      <c r="D128" s="342"/>
      <c r="E128" s="343">
        <v>132283.43</v>
      </c>
      <c r="F128" s="344"/>
      <c r="G128" s="345">
        <f t="shared" si="10"/>
        <v>1</v>
      </c>
      <c r="H128" s="343">
        <f t="shared" si="15"/>
        <v>132283.43</v>
      </c>
      <c r="I128" s="346">
        <v>132283.43</v>
      </c>
      <c r="J128" s="347">
        <f t="shared" si="0"/>
        <v>0</v>
      </c>
      <c r="K128" s="348">
        <v>0</v>
      </c>
      <c r="M128" s="174">
        <f t="shared" si="1"/>
        <v>0</v>
      </c>
      <c r="O128" s="144"/>
      <c r="FH128" s="304"/>
      <c r="FI128" s="304"/>
      <c r="FJ128" s="304"/>
      <c r="FK128" s="304"/>
      <c r="FL128" s="304"/>
      <c r="FM128" s="304"/>
      <c r="FN128" s="304"/>
      <c r="FO128" s="304"/>
      <c r="FP128" s="304"/>
      <c r="FQ128" s="304"/>
      <c r="FR128" s="304"/>
      <c r="FS128" s="304"/>
      <c r="FT128" s="304"/>
      <c r="FU128" s="304"/>
      <c r="FV128" s="304"/>
      <c r="FW128" s="304"/>
      <c r="FX128" s="304"/>
      <c r="FY128" s="304"/>
      <c r="FZ128" s="304"/>
      <c r="GA128" s="304"/>
      <c r="GB128" s="304"/>
      <c r="GC128" s="304"/>
      <c r="GD128" s="304"/>
      <c r="GE128" s="304"/>
      <c r="GF128" s="304"/>
      <c r="GG128" s="304"/>
      <c r="GH128" s="304"/>
      <c r="GI128" s="304"/>
      <c r="GJ128" s="304"/>
      <c r="GK128" s="304"/>
      <c r="GL128" s="304"/>
      <c r="GM128" s="304"/>
      <c r="GN128" s="304"/>
      <c r="GO128" s="304"/>
      <c r="GP128" s="304"/>
      <c r="GQ128" s="304"/>
      <c r="GR128" s="304"/>
      <c r="GS128" s="304"/>
      <c r="GT128" s="304"/>
      <c r="GU128" s="304"/>
      <c r="GV128" s="304"/>
      <c r="GW128" s="304"/>
      <c r="GX128" s="304"/>
      <c r="GY128" s="304"/>
      <c r="GZ128" s="304"/>
      <c r="HA128" s="304"/>
      <c r="HB128" s="304"/>
      <c r="HC128" s="304"/>
      <c r="HD128" s="304"/>
      <c r="HE128" s="304"/>
      <c r="HF128" s="304"/>
      <c r="HG128" s="304"/>
      <c r="HH128" s="304"/>
      <c r="HI128" s="304"/>
      <c r="HJ128" s="304"/>
      <c r="HK128" s="304"/>
      <c r="HL128" s="304"/>
      <c r="HM128" s="304"/>
      <c r="HN128" s="304"/>
      <c r="HO128" s="304"/>
      <c r="HP128" s="304"/>
      <c r="HQ128" s="304"/>
      <c r="HR128" s="304"/>
      <c r="HS128" s="304"/>
      <c r="HT128" s="304"/>
      <c r="HU128" s="304"/>
      <c r="HV128" s="304"/>
      <c r="HW128" s="304"/>
      <c r="HX128" s="304"/>
      <c r="HY128" s="304"/>
      <c r="HZ128" s="304"/>
      <c r="IA128" s="304"/>
      <c r="IB128" s="304"/>
      <c r="IC128" s="304"/>
      <c r="ID128" s="304"/>
      <c r="IE128" s="304"/>
      <c r="IF128" s="304"/>
      <c r="IG128" s="304"/>
      <c r="IH128" s="304"/>
      <c r="II128" s="304"/>
      <c r="IJ128" s="304"/>
      <c r="IK128" s="304"/>
      <c r="IL128" s="304"/>
      <c r="IM128" s="304"/>
      <c r="IN128" s="304"/>
      <c r="IO128" s="304"/>
      <c r="IP128" s="304"/>
      <c r="IQ128" s="304"/>
      <c r="IR128" s="304"/>
      <c r="IS128" s="304"/>
      <c r="IT128" s="304"/>
      <c r="IU128" s="304"/>
      <c r="IV128" s="304"/>
    </row>
    <row r="129" spans="1:256" ht="23.25">
      <c r="A129" s="339" t="s">
        <v>204</v>
      </c>
      <c r="B129" s="340" t="s">
        <v>174</v>
      </c>
      <c r="C129" s="341">
        <f>+E129/E125</f>
        <v>0.19999998704081282</v>
      </c>
      <c r="D129" s="342"/>
      <c r="E129" s="343">
        <v>66141.71</v>
      </c>
      <c r="F129" s="344"/>
      <c r="G129" s="345">
        <f t="shared" si="10"/>
        <v>1</v>
      </c>
      <c r="H129" s="343">
        <f t="shared" si="15"/>
        <v>66141.71</v>
      </c>
      <c r="I129" s="346">
        <v>66141.71</v>
      </c>
      <c r="J129" s="347">
        <f t="shared" si="0"/>
        <v>0</v>
      </c>
      <c r="K129" s="348">
        <v>0</v>
      </c>
      <c r="M129" s="174">
        <f t="shared" si="1"/>
        <v>0</v>
      </c>
      <c r="O129" s="144"/>
      <c r="FH129" s="304"/>
      <c r="FI129" s="304"/>
      <c r="FJ129" s="304"/>
      <c r="FK129" s="304"/>
      <c r="FL129" s="304"/>
      <c r="FM129" s="304"/>
      <c r="FN129" s="304"/>
      <c r="FO129" s="304"/>
      <c r="FP129" s="304"/>
      <c r="FQ129" s="304"/>
      <c r="FR129" s="304"/>
      <c r="FS129" s="304"/>
      <c r="FT129" s="304"/>
      <c r="FU129" s="304"/>
      <c r="FV129" s="304"/>
      <c r="FW129" s="304"/>
      <c r="FX129" s="304"/>
      <c r="FY129" s="304"/>
      <c r="FZ129" s="304"/>
      <c r="GA129" s="304"/>
      <c r="GB129" s="304"/>
      <c r="GC129" s="304"/>
      <c r="GD129" s="304"/>
      <c r="GE129" s="304"/>
      <c r="GF129" s="304"/>
      <c r="GG129" s="304"/>
      <c r="GH129" s="304"/>
      <c r="GI129" s="304"/>
      <c r="GJ129" s="304"/>
      <c r="GK129" s="304"/>
      <c r="GL129" s="304"/>
      <c r="GM129" s="304"/>
      <c r="GN129" s="304"/>
      <c r="GO129" s="304"/>
      <c r="GP129" s="304"/>
      <c r="GQ129" s="304"/>
      <c r="GR129" s="304"/>
      <c r="GS129" s="304"/>
      <c r="GT129" s="304"/>
      <c r="GU129" s="304"/>
      <c r="GV129" s="304"/>
      <c r="GW129" s="304"/>
      <c r="GX129" s="304"/>
      <c r="GY129" s="304"/>
      <c r="GZ129" s="304"/>
      <c r="HA129" s="304"/>
      <c r="HB129" s="304"/>
      <c r="HC129" s="304"/>
      <c r="HD129" s="304"/>
      <c r="HE129" s="304"/>
      <c r="HF129" s="304"/>
      <c r="HG129" s="304"/>
      <c r="HH129" s="304"/>
      <c r="HI129" s="304"/>
      <c r="HJ129" s="304"/>
      <c r="HK129" s="304"/>
      <c r="HL129" s="304"/>
      <c r="HM129" s="304"/>
      <c r="HN129" s="304"/>
      <c r="HO129" s="304"/>
      <c r="HP129" s="304"/>
      <c r="HQ129" s="304"/>
      <c r="HR129" s="304"/>
      <c r="HS129" s="304"/>
      <c r="HT129" s="304"/>
      <c r="HU129" s="304"/>
      <c r="HV129" s="304"/>
      <c r="HW129" s="304"/>
      <c r="HX129" s="304"/>
      <c r="HY129" s="304"/>
      <c r="HZ129" s="304"/>
      <c r="IA129" s="304"/>
      <c r="IB129" s="304"/>
      <c r="IC129" s="304"/>
      <c r="ID129" s="304"/>
      <c r="IE129" s="304"/>
      <c r="IF129" s="304"/>
      <c r="IG129" s="304"/>
      <c r="IH129" s="304"/>
      <c r="II129" s="304"/>
      <c r="IJ129" s="304"/>
      <c r="IK129" s="304"/>
      <c r="IL129" s="304"/>
      <c r="IM129" s="304"/>
      <c r="IN129" s="304"/>
      <c r="IO129" s="304"/>
      <c r="IP129" s="304"/>
      <c r="IQ129" s="304"/>
      <c r="IR129" s="304"/>
      <c r="IS129" s="304"/>
      <c r="IT129" s="304"/>
      <c r="IU129" s="304"/>
      <c r="IV129" s="304"/>
    </row>
    <row r="130" spans="1:256" ht="23.25">
      <c r="A130" s="309" t="s">
        <v>205</v>
      </c>
      <c r="B130" s="333" t="s">
        <v>206</v>
      </c>
      <c r="C130" s="334">
        <f>+E130/E99</f>
        <v>0.14285714285714285</v>
      </c>
      <c r="D130" s="335"/>
      <c r="E130" s="299">
        <f>+E125</f>
        <v>330708.5714285714</v>
      </c>
      <c r="F130" s="311"/>
      <c r="G130" s="336">
        <f t="shared" si="10"/>
        <v>1</v>
      </c>
      <c r="H130" s="299">
        <f t="shared" si="15"/>
        <v>330708.5714285714</v>
      </c>
      <c r="I130" s="337">
        <f>+I131+I132+I133+I134</f>
        <v>330708.5714285714</v>
      </c>
      <c r="J130" s="338">
        <f t="shared" si="0"/>
        <v>0</v>
      </c>
      <c r="K130" s="300">
        <f>SUM(K131:K134)</f>
        <v>0</v>
      </c>
      <c r="M130" s="174">
        <f t="shared" si="1"/>
        <v>0</v>
      </c>
      <c r="O130" s="144"/>
      <c r="FH130" s="304"/>
      <c r="FI130" s="304"/>
      <c r="FJ130" s="304"/>
      <c r="FK130" s="304"/>
      <c r="FL130" s="304"/>
      <c r="FM130" s="304"/>
      <c r="FN130" s="304"/>
      <c r="FO130" s="304"/>
      <c r="FP130" s="304"/>
      <c r="FQ130" s="304"/>
      <c r="FR130" s="304"/>
      <c r="FS130" s="304"/>
      <c r="FT130" s="304"/>
      <c r="FU130" s="304"/>
      <c r="FV130" s="304"/>
      <c r="FW130" s="304"/>
      <c r="FX130" s="304"/>
      <c r="FY130" s="304"/>
      <c r="FZ130" s="304"/>
      <c r="GA130" s="304"/>
      <c r="GB130" s="304"/>
      <c r="GC130" s="304"/>
      <c r="GD130" s="304"/>
      <c r="GE130" s="304"/>
      <c r="GF130" s="304"/>
      <c r="GG130" s="304"/>
      <c r="GH130" s="304"/>
      <c r="GI130" s="304"/>
      <c r="GJ130" s="304"/>
      <c r="GK130" s="304"/>
      <c r="GL130" s="304"/>
      <c r="GM130" s="304"/>
      <c r="GN130" s="304"/>
      <c r="GO130" s="304"/>
      <c r="GP130" s="304"/>
      <c r="GQ130" s="304"/>
      <c r="GR130" s="304"/>
      <c r="GS130" s="304"/>
      <c r="GT130" s="304"/>
      <c r="GU130" s="304"/>
      <c r="GV130" s="304"/>
      <c r="GW130" s="304"/>
      <c r="GX130" s="304"/>
      <c r="GY130" s="304"/>
      <c r="GZ130" s="304"/>
      <c r="HA130" s="304"/>
      <c r="HB130" s="304"/>
      <c r="HC130" s="304"/>
      <c r="HD130" s="304"/>
      <c r="HE130" s="304"/>
      <c r="HF130" s="304"/>
      <c r="HG130" s="304"/>
      <c r="HH130" s="304"/>
      <c r="HI130" s="304"/>
      <c r="HJ130" s="304"/>
      <c r="HK130" s="304"/>
      <c r="HL130" s="304"/>
      <c r="HM130" s="304"/>
      <c r="HN130" s="304"/>
      <c r="HO130" s="304"/>
      <c r="HP130" s="304"/>
      <c r="HQ130" s="304"/>
      <c r="HR130" s="304"/>
      <c r="HS130" s="304"/>
      <c r="HT130" s="304"/>
      <c r="HU130" s="304"/>
      <c r="HV130" s="304"/>
      <c r="HW130" s="304"/>
      <c r="HX130" s="304"/>
      <c r="HY130" s="304"/>
      <c r="HZ130" s="304"/>
      <c r="IA130" s="304"/>
      <c r="IB130" s="304"/>
      <c r="IC130" s="304"/>
      <c r="ID130" s="304"/>
      <c r="IE130" s="304"/>
      <c r="IF130" s="304"/>
      <c r="IG130" s="304"/>
      <c r="IH130" s="304"/>
      <c r="II130" s="304"/>
      <c r="IJ130" s="304"/>
      <c r="IK130" s="304"/>
      <c r="IL130" s="304"/>
      <c r="IM130" s="304"/>
      <c r="IN130" s="304"/>
      <c r="IO130" s="304"/>
      <c r="IP130" s="304"/>
      <c r="IQ130" s="304"/>
      <c r="IR130" s="304"/>
      <c r="IS130" s="304"/>
      <c r="IT130" s="304"/>
      <c r="IU130" s="304"/>
      <c r="IV130" s="304"/>
    </row>
    <row r="131" spans="1:256" ht="23.25">
      <c r="A131" s="339" t="s">
        <v>207</v>
      </c>
      <c r="B131" s="340" t="s">
        <v>800</v>
      </c>
      <c r="C131" s="341">
        <f>+E131/E130</f>
        <v>0.10000001295918716</v>
      </c>
      <c r="D131" s="342"/>
      <c r="E131" s="343">
        <f>+E130-E132-E133-E134</f>
        <v>33070.861428571414</v>
      </c>
      <c r="F131" s="344"/>
      <c r="G131" s="345">
        <f t="shared" si="10"/>
        <v>1</v>
      </c>
      <c r="H131" s="343">
        <f t="shared" si="15"/>
        <v>33070.861428571414</v>
      </c>
      <c r="I131" s="346">
        <f>+E131</f>
        <v>33070.861428571414</v>
      </c>
      <c r="J131" s="347">
        <f t="shared" si="0"/>
        <v>0</v>
      </c>
      <c r="K131" s="348">
        <v>0</v>
      </c>
      <c r="M131" s="174">
        <f t="shared" si="1"/>
        <v>0</v>
      </c>
      <c r="O131" s="144"/>
      <c r="FH131" s="304"/>
      <c r="FI131" s="304"/>
      <c r="FJ131" s="304"/>
      <c r="FK131" s="304"/>
      <c r="FL131" s="304"/>
      <c r="FM131" s="304"/>
      <c r="FN131" s="304"/>
      <c r="FO131" s="304"/>
      <c r="FP131" s="304"/>
      <c r="FQ131" s="304"/>
      <c r="FR131" s="304"/>
      <c r="FS131" s="304"/>
      <c r="FT131" s="304"/>
      <c r="FU131" s="304"/>
      <c r="FV131" s="304"/>
      <c r="FW131" s="304"/>
      <c r="FX131" s="304"/>
      <c r="FY131" s="304"/>
      <c r="FZ131" s="304"/>
      <c r="GA131" s="304"/>
      <c r="GB131" s="304"/>
      <c r="GC131" s="304"/>
      <c r="GD131" s="304"/>
      <c r="GE131" s="304"/>
      <c r="GF131" s="304"/>
      <c r="GG131" s="304"/>
      <c r="GH131" s="304"/>
      <c r="GI131" s="304"/>
      <c r="GJ131" s="304"/>
      <c r="GK131" s="304"/>
      <c r="GL131" s="304"/>
      <c r="GM131" s="304"/>
      <c r="GN131" s="304"/>
      <c r="GO131" s="304"/>
      <c r="GP131" s="304"/>
      <c r="GQ131" s="304"/>
      <c r="GR131" s="304"/>
      <c r="GS131" s="304"/>
      <c r="GT131" s="304"/>
      <c r="GU131" s="304"/>
      <c r="GV131" s="304"/>
      <c r="GW131" s="304"/>
      <c r="GX131" s="304"/>
      <c r="GY131" s="304"/>
      <c r="GZ131" s="304"/>
      <c r="HA131" s="304"/>
      <c r="HB131" s="304"/>
      <c r="HC131" s="304"/>
      <c r="HD131" s="304"/>
      <c r="HE131" s="304"/>
      <c r="HF131" s="304"/>
      <c r="HG131" s="304"/>
      <c r="HH131" s="304"/>
      <c r="HI131" s="304"/>
      <c r="HJ131" s="304"/>
      <c r="HK131" s="304"/>
      <c r="HL131" s="304"/>
      <c r="HM131" s="304"/>
      <c r="HN131" s="304"/>
      <c r="HO131" s="304"/>
      <c r="HP131" s="304"/>
      <c r="HQ131" s="304"/>
      <c r="HR131" s="304"/>
      <c r="HS131" s="304"/>
      <c r="HT131" s="304"/>
      <c r="HU131" s="304"/>
      <c r="HV131" s="304"/>
      <c r="HW131" s="304"/>
      <c r="HX131" s="304"/>
      <c r="HY131" s="304"/>
      <c r="HZ131" s="304"/>
      <c r="IA131" s="304"/>
      <c r="IB131" s="304"/>
      <c r="IC131" s="304"/>
      <c r="ID131" s="304"/>
      <c r="IE131" s="304"/>
      <c r="IF131" s="304"/>
      <c r="IG131" s="304"/>
      <c r="IH131" s="304"/>
      <c r="II131" s="304"/>
      <c r="IJ131" s="304"/>
      <c r="IK131" s="304"/>
      <c r="IL131" s="304"/>
      <c r="IM131" s="304"/>
      <c r="IN131" s="304"/>
      <c r="IO131" s="304"/>
      <c r="IP131" s="304"/>
      <c r="IQ131" s="304"/>
      <c r="IR131" s="304"/>
      <c r="IS131" s="304"/>
      <c r="IT131" s="304"/>
      <c r="IU131" s="304"/>
      <c r="IV131" s="304"/>
    </row>
    <row r="132" spans="1:256" ht="23.25">
      <c r="A132" s="339" t="s">
        <v>208</v>
      </c>
      <c r="B132" s="340" t="s">
        <v>801</v>
      </c>
      <c r="C132" s="341">
        <f>+E132/E130</f>
        <v>0.29999999568027097</v>
      </c>
      <c r="D132" s="342"/>
      <c r="E132" s="343">
        <v>99212.57</v>
      </c>
      <c r="F132" s="344"/>
      <c r="G132" s="345">
        <f t="shared" si="10"/>
        <v>1</v>
      </c>
      <c r="H132" s="343">
        <f t="shared" si="15"/>
        <v>99212.57</v>
      </c>
      <c r="I132" s="346">
        <v>99212.57</v>
      </c>
      <c r="J132" s="347">
        <f t="shared" si="0"/>
        <v>0</v>
      </c>
      <c r="K132" s="348">
        <v>0</v>
      </c>
      <c r="M132" s="174">
        <f t="shared" si="1"/>
        <v>0</v>
      </c>
      <c r="O132" s="144"/>
      <c r="FH132" s="304"/>
      <c r="FI132" s="304"/>
      <c r="FJ132" s="304"/>
      <c r="FK132" s="304"/>
      <c r="FL132" s="304"/>
      <c r="FM132" s="304"/>
      <c r="FN132" s="304"/>
      <c r="FO132" s="304"/>
      <c r="FP132" s="304"/>
      <c r="FQ132" s="304"/>
      <c r="FR132" s="304"/>
      <c r="FS132" s="304"/>
      <c r="FT132" s="304"/>
      <c r="FU132" s="304"/>
      <c r="FV132" s="304"/>
      <c r="FW132" s="304"/>
      <c r="FX132" s="304"/>
      <c r="FY132" s="304"/>
      <c r="FZ132" s="304"/>
      <c r="GA132" s="304"/>
      <c r="GB132" s="304"/>
      <c r="GC132" s="304"/>
      <c r="GD132" s="304"/>
      <c r="GE132" s="304"/>
      <c r="GF132" s="304"/>
      <c r="GG132" s="304"/>
      <c r="GH132" s="304"/>
      <c r="GI132" s="304"/>
      <c r="GJ132" s="304"/>
      <c r="GK132" s="304"/>
      <c r="GL132" s="304"/>
      <c r="GM132" s="304"/>
      <c r="GN132" s="304"/>
      <c r="GO132" s="304"/>
      <c r="GP132" s="304"/>
      <c r="GQ132" s="304"/>
      <c r="GR132" s="304"/>
      <c r="GS132" s="304"/>
      <c r="GT132" s="304"/>
      <c r="GU132" s="304"/>
      <c r="GV132" s="304"/>
      <c r="GW132" s="304"/>
      <c r="GX132" s="304"/>
      <c r="GY132" s="304"/>
      <c r="GZ132" s="304"/>
      <c r="HA132" s="304"/>
      <c r="HB132" s="304"/>
      <c r="HC132" s="304"/>
      <c r="HD132" s="304"/>
      <c r="HE132" s="304"/>
      <c r="HF132" s="304"/>
      <c r="HG132" s="304"/>
      <c r="HH132" s="304"/>
      <c r="HI132" s="304"/>
      <c r="HJ132" s="304"/>
      <c r="HK132" s="304"/>
      <c r="HL132" s="304"/>
      <c r="HM132" s="304"/>
      <c r="HN132" s="304"/>
      <c r="HO132" s="304"/>
      <c r="HP132" s="304"/>
      <c r="HQ132" s="304"/>
      <c r="HR132" s="304"/>
      <c r="HS132" s="304"/>
      <c r="HT132" s="304"/>
      <c r="HU132" s="304"/>
      <c r="HV132" s="304"/>
      <c r="HW132" s="304"/>
      <c r="HX132" s="304"/>
      <c r="HY132" s="304"/>
      <c r="HZ132" s="304"/>
      <c r="IA132" s="304"/>
      <c r="IB132" s="304"/>
      <c r="IC132" s="304"/>
      <c r="ID132" s="304"/>
      <c r="IE132" s="304"/>
      <c r="IF132" s="304"/>
      <c r="IG132" s="304"/>
      <c r="IH132" s="304"/>
      <c r="II132" s="304"/>
      <c r="IJ132" s="304"/>
      <c r="IK132" s="304"/>
      <c r="IL132" s="304"/>
      <c r="IM132" s="304"/>
      <c r="IN132" s="304"/>
      <c r="IO132" s="304"/>
      <c r="IP132" s="304"/>
      <c r="IQ132" s="304"/>
      <c r="IR132" s="304"/>
      <c r="IS132" s="304"/>
      <c r="IT132" s="304"/>
      <c r="IU132" s="304"/>
      <c r="IV132" s="304"/>
    </row>
    <row r="133" spans="1:256" ht="23.25">
      <c r="A133" s="339" t="s">
        <v>209</v>
      </c>
      <c r="B133" s="340" t="s">
        <v>172</v>
      </c>
      <c r="C133" s="341">
        <f>+E133/E130</f>
        <v>0.40000000431972904</v>
      </c>
      <c r="D133" s="342"/>
      <c r="E133" s="343">
        <v>132283.43</v>
      </c>
      <c r="F133" s="344"/>
      <c r="G133" s="345">
        <f t="shared" si="10"/>
        <v>1</v>
      </c>
      <c r="H133" s="343">
        <f t="shared" si="15"/>
        <v>132283.43</v>
      </c>
      <c r="I133" s="346">
        <v>132283.43</v>
      </c>
      <c r="J133" s="347">
        <f t="shared" si="0"/>
        <v>0</v>
      </c>
      <c r="K133" s="348">
        <v>0</v>
      </c>
      <c r="M133" s="174">
        <f t="shared" si="1"/>
        <v>0</v>
      </c>
      <c r="O133" s="144"/>
      <c r="FH133" s="304"/>
      <c r="FI133" s="304"/>
      <c r="FJ133" s="304"/>
      <c r="FK133" s="304"/>
      <c r="FL133" s="304"/>
      <c r="FM133" s="304"/>
      <c r="FN133" s="304"/>
      <c r="FO133" s="304"/>
      <c r="FP133" s="304"/>
      <c r="FQ133" s="304"/>
      <c r="FR133" s="304"/>
      <c r="FS133" s="304"/>
      <c r="FT133" s="304"/>
      <c r="FU133" s="304"/>
      <c r="FV133" s="304"/>
      <c r="FW133" s="304"/>
      <c r="FX133" s="304"/>
      <c r="FY133" s="304"/>
      <c r="FZ133" s="304"/>
      <c r="GA133" s="304"/>
      <c r="GB133" s="304"/>
      <c r="GC133" s="304"/>
      <c r="GD133" s="304"/>
      <c r="GE133" s="304"/>
      <c r="GF133" s="304"/>
      <c r="GG133" s="304"/>
      <c r="GH133" s="304"/>
      <c r="GI133" s="304"/>
      <c r="GJ133" s="304"/>
      <c r="GK133" s="304"/>
      <c r="GL133" s="304"/>
      <c r="GM133" s="304"/>
      <c r="GN133" s="304"/>
      <c r="GO133" s="304"/>
      <c r="GP133" s="304"/>
      <c r="GQ133" s="304"/>
      <c r="GR133" s="304"/>
      <c r="GS133" s="304"/>
      <c r="GT133" s="304"/>
      <c r="GU133" s="304"/>
      <c r="GV133" s="304"/>
      <c r="GW133" s="304"/>
      <c r="GX133" s="304"/>
      <c r="GY133" s="304"/>
      <c r="GZ133" s="304"/>
      <c r="HA133" s="304"/>
      <c r="HB133" s="304"/>
      <c r="HC133" s="304"/>
      <c r="HD133" s="304"/>
      <c r="HE133" s="304"/>
      <c r="HF133" s="304"/>
      <c r="HG133" s="304"/>
      <c r="HH133" s="304"/>
      <c r="HI133" s="304"/>
      <c r="HJ133" s="304"/>
      <c r="HK133" s="304"/>
      <c r="HL133" s="304"/>
      <c r="HM133" s="304"/>
      <c r="HN133" s="304"/>
      <c r="HO133" s="304"/>
      <c r="HP133" s="304"/>
      <c r="HQ133" s="304"/>
      <c r="HR133" s="304"/>
      <c r="HS133" s="304"/>
      <c r="HT133" s="304"/>
      <c r="HU133" s="304"/>
      <c r="HV133" s="304"/>
      <c r="HW133" s="304"/>
      <c r="HX133" s="304"/>
      <c r="HY133" s="304"/>
      <c r="HZ133" s="304"/>
      <c r="IA133" s="304"/>
      <c r="IB133" s="304"/>
      <c r="IC133" s="304"/>
      <c r="ID133" s="304"/>
      <c r="IE133" s="304"/>
      <c r="IF133" s="304"/>
      <c r="IG133" s="304"/>
      <c r="IH133" s="304"/>
      <c r="II133" s="304"/>
      <c r="IJ133" s="304"/>
      <c r="IK133" s="304"/>
      <c r="IL133" s="304"/>
      <c r="IM133" s="304"/>
      <c r="IN133" s="304"/>
      <c r="IO133" s="304"/>
      <c r="IP133" s="304"/>
      <c r="IQ133" s="304"/>
      <c r="IR133" s="304"/>
      <c r="IS133" s="304"/>
      <c r="IT133" s="304"/>
      <c r="IU133" s="304"/>
      <c r="IV133" s="304"/>
    </row>
    <row r="134" spans="1:256" ht="23.25">
      <c r="A134" s="339" t="s">
        <v>210</v>
      </c>
      <c r="B134" s="340" t="s">
        <v>174</v>
      </c>
      <c r="C134" s="341">
        <f>+E134/E130</f>
        <v>0.19999998704081282</v>
      </c>
      <c r="D134" s="342"/>
      <c r="E134" s="343">
        <v>66141.71</v>
      </c>
      <c r="F134" s="344"/>
      <c r="G134" s="345">
        <f t="shared" si="10"/>
        <v>1</v>
      </c>
      <c r="H134" s="343">
        <f t="shared" si="15"/>
        <v>66141.71</v>
      </c>
      <c r="I134" s="346">
        <v>66141.71</v>
      </c>
      <c r="J134" s="347">
        <f t="shared" si="0"/>
        <v>0</v>
      </c>
      <c r="K134" s="348">
        <v>0</v>
      </c>
      <c r="M134" s="174">
        <f t="shared" si="1"/>
        <v>0</v>
      </c>
      <c r="O134" s="144"/>
      <c r="FH134" s="304"/>
      <c r="FI134" s="304"/>
      <c r="FJ134" s="304"/>
      <c r="FK134" s="304"/>
      <c r="FL134" s="304"/>
      <c r="FM134" s="304"/>
      <c r="FN134" s="304"/>
      <c r="FO134" s="304"/>
      <c r="FP134" s="304"/>
      <c r="FQ134" s="304"/>
      <c r="FR134" s="304"/>
      <c r="FS134" s="304"/>
      <c r="FT134" s="304"/>
      <c r="FU134" s="304"/>
      <c r="FV134" s="304"/>
      <c r="FW134" s="304"/>
      <c r="FX134" s="304"/>
      <c r="FY134" s="304"/>
      <c r="FZ134" s="304"/>
      <c r="GA134" s="304"/>
      <c r="GB134" s="304"/>
      <c r="GC134" s="304"/>
      <c r="GD134" s="304"/>
      <c r="GE134" s="304"/>
      <c r="GF134" s="304"/>
      <c r="GG134" s="304"/>
      <c r="GH134" s="304"/>
      <c r="GI134" s="304"/>
      <c r="GJ134" s="304"/>
      <c r="GK134" s="304"/>
      <c r="GL134" s="304"/>
      <c r="GM134" s="304"/>
      <c r="GN134" s="304"/>
      <c r="GO134" s="304"/>
      <c r="GP134" s="304"/>
      <c r="GQ134" s="304"/>
      <c r="GR134" s="304"/>
      <c r="GS134" s="304"/>
      <c r="GT134" s="304"/>
      <c r="GU134" s="304"/>
      <c r="GV134" s="304"/>
      <c r="GW134" s="304"/>
      <c r="GX134" s="304"/>
      <c r="GY134" s="304"/>
      <c r="GZ134" s="304"/>
      <c r="HA134" s="304"/>
      <c r="HB134" s="304"/>
      <c r="HC134" s="304"/>
      <c r="HD134" s="304"/>
      <c r="HE134" s="304"/>
      <c r="HF134" s="304"/>
      <c r="HG134" s="304"/>
      <c r="HH134" s="304"/>
      <c r="HI134" s="304"/>
      <c r="HJ134" s="304"/>
      <c r="HK134" s="304"/>
      <c r="HL134" s="304"/>
      <c r="HM134" s="304"/>
      <c r="HN134" s="304"/>
      <c r="HO134" s="304"/>
      <c r="HP134" s="304"/>
      <c r="HQ134" s="304"/>
      <c r="HR134" s="304"/>
      <c r="HS134" s="304"/>
      <c r="HT134" s="304"/>
      <c r="HU134" s="304"/>
      <c r="HV134" s="304"/>
      <c r="HW134" s="304"/>
      <c r="HX134" s="304"/>
      <c r="HY134" s="304"/>
      <c r="HZ134" s="304"/>
      <c r="IA134" s="304"/>
      <c r="IB134" s="304"/>
      <c r="IC134" s="304"/>
      <c r="ID134" s="304"/>
      <c r="IE134" s="304"/>
      <c r="IF134" s="304"/>
      <c r="IG134" s="304"/>
      <c r="IH134" s="304"/>
      <c r="II134" s="304"/>
      <c r="IJ134" s="304"/>
      <c r="IK134" s="304"/>
      <c r="IL134" s="304"/>
      <c r="IM134" s="304"/>
      <c r="IN134" s="304"/>
      <c r="IO134" s="304"/>
      <c r="IP134" s="304"/>
      <c r="IQ134" s="304"/>
      <c r="IR134" s="304"/>
      <c r="IS134" s="304"/>
      <c r="IT134" s="304"/>
      <c r="IU134" s="304"/>
      <c r="IV134" s="304"/>
    </row>
    <row r="135" spans="1:256" ht="23.25">
      <c r="A135" s="251" t="s">
        <v>211</v>
      </c>
      <c r="B135" s="252" t="s">
        <v>804</v>
      </c>
      <c r="C135" s="261">
        <v>0.15</v>
      </c>
      <c r="D135" s="262">
        <v>578740</v>
      </c>
      <c r="E135" s="257">
        <v>578740</v>
      </c>
      <c r="F135" s="255"/>
      <c r="G135" s="256">
        <f t="shared" si="10"/>
        <v>1</v>
      </c>
      <c r="H135" s="257">
        <f t="shared" si="15"/>
        <v>578740</v>
      </c>
      <c r="I135" s="249">
        <f>+I136+I137+I138+I139</f>
        <v>578740</v>
      </c>
      <c r="J135" s="264">
        <f t="shared" si="0"/>
        <v>0</v>
      </c>
      <c r="K135" s="258">
        <f>+K136+K137+K138+K139</f>
        <v>0</v>
      </c>
      <c r="L135" s="292"/>
      <c r="M135" s="174">
        <f t="shared" si="1"/>
        <v>0</v>
      </c>
      <c r="O135" s="144"/>
      <c r="FH135" s="304"/>
      <c r="FI135" s="304"/>
      <c r="FJ135" s="304"/>
      <c r="FK135" s="304"/>
      <c r="FL135" s="304"/>
      <c r="FM135" s="304"/>
      <c r="FN135" s="304"/>
      <c r="FO135" s="304"/>
      <c r="FP135" s="304"/>
      <c r="FQ135" s="304"/>
      <c r="FR135" s="304"/>
      <c r="FS135" s="304"/>
      <c r="FT135" s="304"/>
      <c r="FU135" s="304"/>
      <c r="FV135" s="304"/>
      <c r="FW135" s="304"/>
      <c r="FX135" s="304"/>
      <c r="FY135" s="304"/>
      <c r="FZ135" s="304"/>
      <c r="GA135" s="304"/>
      <c r="GB135" s="304"/>
      <c r="GC135" s="304"/>
      <c r="GD135" s="304"/>
      <c r="GE135" s="304"/>
      <c r="GF135" s="304"/>
      <c r="GG135" s="304"/>
      <c r="GH135" s="304"/>
      <c r="GI135" s="304"/>
      <c r="GJ135" s="304"/>
      <c r="GK135" s="304"/>
      <c r="GL135" s="304"/>
      <c r="GM135" s="304"/>
      <c r="GN135" s="304"/>
      <c r="GO135" s="304"/>
      <c r="GP135" s="304"/>
      <c r="GQ135" s="304"/>
      <c r="GR135" s="304"/>
      <c r="GS135" s="304"/>
      <c r="GT135" s="304"/>
      <c r="GU135" s="304"/>
      <c r="GV135" s="304"/>
      <c r="GW135" s="304"/>
      <c r="GX135" s="304"/>
      <c r="GY135" s="304"/>
      <c r="GZ135" s="304"/>
      <c r="HA135" s="304"/>
      <c r="HB135" s="304"/>
      <c r="HC135" s="304"/>
      <c r="HD135" s="304"/>
      <c r="HE135" s="304"/>
      <c r="HF135" s="304"/>
      <c r="HG135" s="304"/>
      <c r="HH135" s="304"/>
      <c r="HI135" s="304"/>
      <c r="HJ135" s="304"/>
      <c r="HK135" s="304"/>
      <c r="HL135" s="304"/>
      <c r="HM135" s="304"/>
      <c r="HN135" s="304"/>
      <c r="HO135" s="304"/>
      <c r="HP135" s="304"/>
      <c r="HQ135" s="304"/>
      <c r="HR135" s="304"/>
      <c r="HS135" s="304"/>
      <c r="HT135" s="304"/>
      <c r="HU135" s="304"/>
      <c r="HV135" s="304"/>
      <c r="HW135" s="304"/>
      <c r="HX135" s="304"/>
      <c r="HY135" s="304"/>
      <c r="HZ135" s="304"/>
      <c r="IA135" s="304"/>
      <c r="IB135" s="304"/>
      <c r="IC135" s="304"/>
      <c r="ID135" s="304"/>
      <c r="IE135" s="304"/>
      <c r="IF135" s="304"/>
      <c r="IG135" s="304"/>
      <c r="IH135" s="304"/>
      <c r="II135" s="304"/>
      <c r="IJ135" s="304"/>
      <c r="IK135" s="304"/>
      <c r="IL135" s="304"/>
      <c r="IM135" s="304"/>
      <c r="IN135" s="304"/>
      <c r="IO135" s="304"/>
      <c r="IP135" s="304"/>
      <c r="IQ135" s="304"/>
      <c r="IR135" s="304"/>
      <c r="IS135" s="304"/>
      <c r="IT135" s="304"/>
      <c r="IU135" s="304"/>
      <c r="IV135" s="304"/>
    </row>
    <row r="136" spans="1:256" ht="23.25">
      <c r="A136" s="309" t="s">
        <v>213</v>
      </c>
      <c r="B136" s="333" t="s">
        <v>800</v>
      </c>
      <c r="C136" s="334">
        <f>+E136/E135</f>
        <v>0.1</v>
      </c>
      <c r="D136" s="335"/>
      <c r="E136" s="299">
        <v>57874</v>
      </c>
      <c r="F136" s="311"/>
      <c r="G136" s="298">
        <f t="shared" si="10"/>
        <v>1</v>
      </c>
      <c r="H136" s="299">
        <f t="shared" si="15"/>
        <v>57874</v>
      </c>
      <c r="I136" s="337">
        <f aca="true" t="shared" si="18" ref="I136:I137">+E136</f>
        <v>57874</v>
      </c>
      <c r="J136" s="320">
        <f t="shared" si="0"/>
        <v>0</v>
      </c>
      <c r="K136" s="300">
        <v>0</v>
      </c>
      <c r="M136" s="174">
        <f t="shared" si="1"/>
        <v>0</v>
      </c>
      <c r="O136" s="144"/>
      <c r="FH136" s="304"/>
      <c r="FI136" s="304"/>
      <c r="FJ136" s="304"/>
      <c r="FK136" s="304"/>
      <c r="FL136" s="304"/>
      <c r="FM136" s="304"/>
      <c r="FN136" s="304"/>
      <c r="FO136" s="304"/>
      <c r="FP136" s="304"/>
      <c r="FQ136" s="304"/>
      <c r="FR136" s="304"/>
      <c r="FS136" s="304"/>
      <c r="FT136" s="304"/>
      <c r="FU136" s="304"/>
      <c r="FV136" s="304"/>
      <c r="FW136" s="304"/>
      <c r="FX136" s="304"/>
      <c r="FY136" s="304"/>
      <c r="FZ136" s="304"/>
      <c r="GA136" s="304"/>
      <c r="GB136" s="304"/>
      <c r="GC136" s="304"/>
      <c r="GD136" s="304"/>
      <c r="GE136" s="304"/>
      <c r="GF136" s="304"/>
      <c r="GG136" s="304"/>
      <c r="GH136" s="304"/>
      <c r="GI136" s="304"/>
      <c r="GJ136" s="304"/>
      <c r="GK136" s="304"/>
      <c r="GL136" s="304"/>
      <c r="GM136" s="304"/>
      <c r="GN136" s="304"/>
      <c r="GO136" s="304"/>
      <c r="GP136" s="304"/>
      <c r="GQ136" s="304"/>
      <c r="GR136" s="304"/>
      <c r="GS136" s="304"/>
      <c r="GT136" s="304"/>
      <c r="GU136" s="304"/>
      <c r="GV136" s="304"/>
      <c r="GW136" s="304"/>
      <c r="GX136" s="304"/>
      <c r="GY136" s="304"/>
      <c r="GZ136" s="304"/>
      <c r="HA136" s="304"/>
      <c r="HB136" s="304"/>
      <c r="HC136" s="304"/>
      <c r="HD136" s="304"/>
      <c r="HE136" s="304"/>
      <c r="HF136" s="304"/>
      <c r="HG136" s="304"/>
      <c r="HH136" s="304"/>
      <c r="HI136" s="304"/>
      <c r="HJ136" s="304"/>
      <c r="HK136" s="304"/>
      <c r="HL136" s="304"/>
      <c r="HM136" s="304"/>
      <c r="HN136" s="304"/>
      <c r="HO136" s="304"/>
      <c r="HP136" s="304"/>
      <c r="HQ136" s="304"/>
      <c r="HR136" s="304"/>
      <c r="HS136" s="304"/>
      <c r="HT136" s="304"/>
      <c r="HU136" s="304"/>
      <c r="HV136" s="304"/>
      <c r="HW136" s="304"/>
      <c r="HX136" s="304"/>
      <c r="HY136" s="304"/>
      <c r="HZ136" s="304"/>
      <c r="IA136" s="304"/>
      <c r="IB136" s="304"/>
      <c r="IC136" s="304"/>
      <c r="ID136" s="304"/>
      <c r="IE136" s="304"/>
      <c r="IF136" s="304"/>
      <c r="IG136" s="304"/>
      <c r="IH136" s="304"/>
      <c r="II136" s="304"/>
      <c r="IJ136" s="304"/>
      <c r="IK136" s="304"/>
      <c r="IL136" s="304"/>
      <c r="IM136" s="304"/>
      <c r="IN136" s="304"/>
      <c r="IO136" s="304"/>
      <c r="IP136" s="304"/>
      <c r="IQ136" s="304"/>
      <c r="IR136" s="304"/>
      <c r="IS136" s="304"/>
      <c r="IT136" s="304"/>
      <c r="IU136" s="304"/>
      <c r="IV136" s="304"/>
    </row>
    <row r="137" spans="1:256" ht="23.25">
      <c r="A137" s="309" t="s">
        <v>215</v>
      </c>
      <c r="B137" s="333" t="s">
        <v>801</v>
      </c>
      <c r="C137" s="334">
        <f>+E137/E135</f>
        <v>0.3</v>
      </c>
      <c r="D137" s="335"/>
      <c r="E137" s="299">
        <v>173622</v>
      </c>
      <c r="F137" s="311"/>
      <c r="G137" s="298">
        <f t="shared" si="10"/>
        <v>1</v>
      </c>
      <c r="H137" s="299">
        <f t="shared" si="15"/>
        <v>173622</v>
      </c>
      <c r="I137" s="337">
        <f t="shared" si="18"/>
        <v>173622</v>
      </c>
      <c r="J137" s="320">
        <f t="shared" si="0"/>
        <v>0</v>
      </c>
      <c r="K137" s="300">
        <v>0</v>
      </c>
      <c r="M137" s="174">
        <f t="shared" si="1"/>
        <v>0</v>
      </c>
      <c r="O137" s="144"/>
      <c r="FH137" s="304"/>
      <c r="FI137" s="304"/>
      <c r="FJ137" s="304"/>
      <c r="FK137" s="304"/>
      <c r="FL137" s="304"/>
      <c r="FM137" s="304"/>
      <c r="FN137" s="304"/>
      <c r="FO137" s="304"/>
      <c r="FP137" s="304"/>
      <c r="FQ137" s="304"/>
      <c r="FR137" s="304"/>
      <c r="FS137" s="304"/>
      <c r="FT137" s="304"/>
      <c r="FU137" s="304"/>
      <c r="FV137" s="304"/>
      <c r="FW137" s="304"/>
      <c r="FX137" s="304"/>
      <c r="FY137" s="304"/>
      <c r="FZ137" s="304"/>
      <c r="GA137" s="304"/>
      <c r="GB137" s="304"/>
      <c r="GC137" s="304"/>
      <c r="GD137" s="304"/>
      <c r="GE137" s="304"/>
      <c r="GF137" s="304"/>
      <c r="GG137" s="304"/>
      <c r="GH137" s="304"/>
      <c r="GI137" s="304"/>
      <c r="GJ137" s="304"/>
      <c r="GK137" s="304"/>
      <c r="GL137" s="304"/>
      <c r="GM137" s="304"/>
      <c r="GN137" s="304"/>
      <c r="GO137" s="304"/>
      <c r="GP137" s="304"/>
      <c r="GQ137" s="304"/>
      <c r="GR137" s="304"/>
      <c r="GS137" s="304"/>
      <c r="GT137" s="304"/>
      <c r="GU137" s="304"/>
      <c r="GV137" s="304"/>
      <c r="GW137" s="304"/>
      <c r="GX137" s="304"/>
      <c r="GY137" s="304"/>
      <c r="GZ137" s="304"/>
      <c r="HA137" s="304"/>
      <c r="HB137" s="304"/>
      <c r="HC137" s="304"/>
      <c r="HD137" s="304"/>
      <c r="HE137" s="304"/>
      <c r="HF137" s="304"/>
      <c r="HG137" s="304"/>
      <c r="HH137" s="304"/>
      <c r="HI137" s="304"/>
      <c r="HJ137" s="304"/>
      <c r="HK137" s="304"/>
      <c r="HL137" s="304"/>
      <c r="HM137" s="304"/>
      <c r="HN137" s="304"/>
      <c r="HO137" s="304"/>
      <c r="HP137" s="304"/>
      <c r="HQ137" s="304"/>
      <c r="HR137" s="304"/>
      <c r="HS137" s="304"/>
      <c r="HT137" s="304"/>
      <c r="HU137" s="304"/>
      <c r="HV137" s="304"/>
      <c r="HW137" s="304"/>
      <c r="HX137" s="304"/>
      <c r="HY137" s="304"/>
      <c r="HZ137" s="304"/>
      <c r="IA137" s="304"/>
      <c r="IB137" s="304"/>
      <c r="IC137" s="304"/>
      <c r="ID137" s="304"/>
      <c r="IE137" s="304"/>
      <c r="IF137" s="304"/>
      <c r="IG137" s="304"/>
      <c r="IH137" s="304"/>
      <c r="II137" s="304"/>
      <c r="IJ137" s="304"/>
      <c r="IK137" s="304"/>
      <c r="IL137" s="304"/>
      <c r="IM137" s="304"/>
      <c r="IN137" s="304"/>
      <c r="IO137" s="304"/>
      <c r="IP137" s="304"/>
      <c r="IQ137" s="304"/>
      <c r="IR137" s="304"/>
      <c r="IS137" s="304"/>
      <c r="IT137" s="304"/>
      <c r="IU137" s="304"/>
      <c r="IV137" s="304"/>
    </row>
    <row r="138" spans="1:256" ht="23.25">
      <c r="A138" s="309" t="s">
        <v>216</v>
      </c>
      <c r="B138" s="333" t="s">
        <v>805</v>
      </c>
      <c r="C138" s="334">
        <f>+E138/E135</f>
        <v>0.3</v>
      </c>
      <c r="D138" s="335"/>
      <c r="E138" s="299">
        <v>173622</v>
      </c>
      <c r="F138" s="311"/>
      <c r="G138" s="298">
        <f t="shared" si="10"/>
        <v>1</v>
      </c>
      <c r="H138" s="299">
        <f t="shared" si="15"/>
        <v>173622</v>
      </c>
      <c r="I138" s="337">
        <v>173622</v>
      </c>
      <c r="J138" s="320">
        <f t="shared" si="0"/>
        <v>0</v>
      </c>
      <c r="K138" s="300">
        <v>0</v>
      </c>
      <c r="M138" s="174">
        <f t="shared" si="1"/>
        <v>0</v>
      </c>
      <c r="O138" s="144"/>
      <c r="FH138" s="304"/>
      <c r="FI138" s="304"/>
      <c r="FJ138" s="304"/>
      <c r="FK138" s="304"/>
      <c r="FL138" s="304"/>
      <c r="FM138" s="304"/>
      <c r="FN138" s="304"/>
      <c r="FO138" s="304"/>
      <c r="FP138" s="304"/>
      <c r="FQ138" s="304"/>
      <c r="FR138" s="304"/>
      <c r="FS138" s="304"/>
      <c r="FT138" s="304"/>
      <c r="FU138" s="304"/>
      <c r="FV138" s="304"/>
      <c r="FW138" s="304"/>
      <c r="FX138" s="304"/>
      <c r="FY138" s="304"/>
      <c r="FZ138" s="304"/>
      <c r="GA138" s="304"/>
      <c r="GB138" s="304"/>
      <c r="GC138" s="304"/>
      <c r="GD138" s="304"/>
      <c r="GE138" s="304"/>
      <c r="GF138" s="304"/>
      <c r="GG138" s="304"/>
      <c r="GH138" s="304"/>
      <c r="GI138" s="304"/>
      <c r="GJ138" s="304"/>
      <c r="GK138" s="304"/>
      <c r="GL138" s="304"/>
      <c r="GM138" s="304"/>
      <c r="GN138" s="304"/>
      <c r="GO138" s="304"/>
      <c r="GP138" s="304"/>
      <c r="GQ138" s="304"/>
      <c r="GR138" s="304"/>
      <c r="GS138" s="304"/>
      <c r="GT138" s="304"/>
      <c r="GU138" s="304"/>
      <c r="GV138" s="304"/>
      <c r="GW138" s="304"/>
      <c r="GX138" s="304"/>
      <c r="GY138" s="304"/>
      <c r="GZ138" s="304"/>
      <c r="HA138" s="304"/>
      <c r="HB138" s="304"/>
      <c r="HC138" s="304"/>
      <c r="HD138" s="304"/>
      <c r="HE138" s="304"/>
      <c r="HF138" s="304"/>
      <c r="HG138" s="304"/>
      <c r="HH138" s="304"/>
      <c r="HI138" s="304"/>
      <c r="HJ138" s="304"/>
      <c r="HK138" s="304"/>
      <c r="HL138" s="304"/>
      <c r="HM138" s="304"/>
      <c r="HN138" s="304"/>
      <c r="HO138" s="304"/>
      <c r="HP138" s="304"/>
      <c r="HQ138" s="304"/>
      <c r="HR138" s="304"/>
      <c r="HS138" s="304"/>
      <c r="HT138" s="304"/>
      <c r="HU138" s="304"/>
      <c r="HV138" s="304"/>
      <c r="HW138" s="304"/>
      <c r="HX138" s="304"/>
      <c r="HY138" s="304"/>
      <c r="HZ138" s="304"/>
      <c r="IA138" s="304"/>
      <c r="IB138" s="304"/>
      <c r="IC138" s="304"/>
      <c r="ID138" s="304"/>
      <c r="IE138" s="304"/>
      <c r="IF138" s="304"/>
      <c r="IG138" s="304"/>
      <c r="IH138" s="304"/>
      <c r="II138" s="304"/>
      <c r="IJ138" s="304"/>
      <c r="IK138" s="304"/>
      <c r="IL138" s="304"/>
      <c r="IM138" s="304"/>
      <c r="IN138" s="304"/>
      <c r="IO138" s="304"/>
      <c r="IP138" s="304"/>
      <c r="IQ138" s="304"/>
      <c r="IR138" s="304"/>
      <c r="IS138" s="304"/>
      <c r="IT138" s="304"/>
      <c r="IU138" s="304"/>
      <c r="IV138" s="304"/>
    </row>
    <row r="139" spans="1:256" ht="23.25">
      <c r="A139" s="309" t="s">
        <v>218</v>
      </c>
      <c r="B139" s="333" t="s">
        <v>219</v>
      </c>
      <c r="C139" s="334">
        <f>+E139/E135</f>
        <v>0.3</v>
      </c>
      <c r="D139" s="335"/>
      <c r="E139" s="299">
        <v>173622</v>
      </c>
      <c r="F139" s="311"/>
      <c r="G139" s="298">
        <f t="shared" si="10"/>
        <v>1</v>
      </c>
      <c r="H139" s="299">
        <f t="shared" si="15"/>
        <v>173622</v>
      </c>
      <c r="I139" s="337">
        <v>173622</v>
      </c>
      <c r="J139" s="320">
        <f t="shared" si="0"/>
        <v>0</v>
      </c>
      <c r="K139" s="300">
        <v>0</v>
      </c>
      <c r="M139" s="174">
        <f t="shared" si="1"/>
        <v>0</v>
      </c>
      <c r="O139" s="144"/>
      <c r="FH139" s="304"/>
      <c r="FI139" s="304"/>
      <c r="FJ139" s="304"/>
      <c r="FK139" s="304"/>
      <c r="FL139" s="304"/>
      <c r="FM139" s="304"/>
      <c r="FN139" s="304"/>
      <c r="FO139" s="304"/>
      <c r="FP139" s="304"/>
      <c r="FQ139" s="304"/>
      <c r="FR139" s="304"/>
      <c r="FS139" s="304"/>
      <c r="FT139" s="304"/>
      <c r="FU139" s="304"/>
      <c r="FV139" s="304"/>
      <c r="FW139" s="304"/>
      <c r="FX139" s="304"/>
      <c r="FY139" s="304"/>
      <c r="FZ139" s="304"/>
      <c r="GA139" s="304"/>
      <c r="GB139" s="304"/>
      <c r="GC139" s="304"/>
      <c r="GD139" s="304"/>
      <c r="GE139" s="304"/>
      <c r="GF139" s="304"/>
      <c r="GG139" s="304"/>
      <c r="GH139" s="304"/>
      <c r="GI139" s="304"/>
      <c r="GJ139" s="304"/>
      <c r="GK139" s="304"/>
      <c r="GL139" s="304"/>
      <c r="GM139" s="304"/>
      <c r="GN139" s="304"/>
      <c r="GO139" s="304"/>
      <c r="GP139" s="304"/>
      <c r="GQ139" s="304"/>
      <c r="GR139" s="304"/>
      <c r="GS139" s="304"/>
      <c r="GT139" s="304"/>
      <c r="GU139" s="304"/>
      <c r="GV139" s="304"/>
      <c r="GW139" s="304"/>
      <c r="GX139" s="304"/>
      <c r="GY139" s="304"/>
      <c r="GZ139" s="304"/>
      <c r="HA139" s="304"/>
      <c r="HB139" s="304"/>
      <c r="HC139" s="304"/>
      <c r="HD139" s="304"/>
      <c r="HE139" s="304"/>
      <c r="HF139" s="304"/>
      <c r="HG139" s="304"/>
      <c r="HH139" s="304"/>
      <c r="HI139" s="304"/>
      <c r="HJ139" s="304"/>
      <c r="HK139" s="304"/>
      <c r="HL139" s="304"/>
      <c r="HM139" s="304"/>
      <c r="HN139" s="304"/>
      <c r="HO139" s="304"/>
      <c r="HP139" s="304"/>
      <c r="HQ139" s="304"/>
      <c r="HR139" s="304"/>
      <c r="HS139" s="304"/>
      <c r="HT139" s="304"/>
      <c r="HU139" s="304"/>
      <c r="HV139" s="304"/>
      <c r="HW139" s="304"/>
      <c r="HX139" s="304"/>
      <c r="HY139" s="304"/>
      <c r="HZ139" s="304"/>
      <c r="IA139" s="304"/>
      <c r="IB139" s="304"/>
      <c r="IC139" s="304"/>
      <c r="ID139" s="304"/>
      <c r="IE139" s="304"/>
      <c r="IF139" s="304"/>
      <c r="IG139" s="304"/>
      <c r="IH139" s="304"/>
      <c r="II139" s="304"/>
      <c r="IJ139" s="304"/>
      <c r="IK139" s="304"/>
      <c r="IL139" s="304"/>
      <c r="IM139" s="304"/>
      <c r="IN139" s="304"/>
      <c r="IO139" s="304"/>
      <c r="IP139" s="304"/>
      <c r="IQ139" s="304"/>
      <c r="IR139" s="304"/>
      <c r="IS139" s="304"/>
      <c r="IT139" s="304"/>
      <c r="IU139" s="304"/>
      <c r="IV139" s="304"/>
    </row>
    <row r="140" spans="1:256" ht="23.25">
      <c r="A140" s="259" t="s">
        <v>220</v>
      </c>
      <c r="B140" s="349" t="s">
        <v>806</v>
      </c>
      <c r="C140" s="261">
        <v>0.05</v>
      </c>
      <c r="D140" s="262">
        <v>192913</v>
      </c>
      <c r="E140" s="265">
        <v>192913</v>
      </c>
      <c r="F140" s="255"/>
      <c r="G140" s="256">
        <f t="shared" si="10"/>
        <v>1</v>
      </c>
      <c r="H140" s="257">
        <f t="shared" si="15"/>
        <v>192913</v>
      </c>
      <c r="I140" s="249">
        <f>+I141+I142+I143+I144</f>
        <v>192913</v>
      </c>
      <c r="J140" s="264">
        <f t="shared" si="0"/>
        <v>0</v>
      </c>
      <c r="K140" s="258">
        <f>SUM(K141:K144)</f>
        <v>0</v>
      </c>
      <c r="M140" s="174">
        <f t="shared" si="1"/>
        <v>0</v>
      </c>
      <c r="O140" s="144"/>
      <c r="FH140" s="304"/>
      <c r="FI140" s="304"/>
      <c r="FJ140" s="304"/>
      <c r="FK140" s="304"/>
      <c r="FL140" s="304"/>
      <c r="FM140" s="304"/>
      <c r="FN140" s="304"/>
      <c r="FO140" s="304"/>
      <c r="FP140" s="304"/>
      <c r="FQ140" s="304"/>
      <c r="FR140" s="304"/>
      <c r="FS140" s="304"/>
      <c r="FT140" s="304"/>
      <c r="FU140" s="304"/>
      <c r="FV140" s="304"/>
      <c r="FW140" s="304"/>
      <c r="FX140" s="304"/>
      <c r="FY140" s="304"/>
      <c r="FZ140" s="304"/>
      <c r="GA140" s="304"/>
      <c r="GB140" s="304"/>
      <c r="GC140" s="304"/>
      <c r="GD140" s="304"/>
      <c r="GE140" s="304"/>
      <c r="GF140" s="304"/>
      <c r="GG140" s="304"/>
      <c r="GH140" s="304"/>
      <c r="GI140" s="304"/>
      <c r="GJ140" s="304"/>
      <c r="GK140" s="304"/>
      <c r="GL140" s="304"/>
      <c r="GM140" s="304"/>
      <c r="GN140" s="304"/>
      <c r="GO140" s="304"/>
      <c r="GP140" s="304"/>
      <c r="GQ140" s="304"/>
      <c r="GR140" s="304"/>
      <c r="GS140" s="304"/>
      <c r="GT140" s="304"/>
      <c r="GU140" s="304"/>
      <c r="GV140" s="304"/>
      <c r="GW140" s="304"/>
      <c r="GX140" s="304"/>
      <c r="GY140" s="304"/>
      <c r="GZ140" s="304"/>
      <c r="HA140" s="304"/>
      <c r="HB140" s="304"/>
      <c r="HC140" s="304"/>
      <c r="HD140" s="304"/>
      <c r="HE140" s="304"/>
      <c r="HF140" s="304"/>
      <c r="HG140" s="304"/>
      <c r="HH140" s="304"/>
      <c r="HI140" s="304"/>
      <c r="HJ140" s="304"/>
      <c r="HK140" s="304"/>
      <c r="HL140" s="304"/>
      <c r="HM140" s="304"/>
      <c r="HN140" s="304"/>
      <c r="HO140" s="304"/>
      <c r="HP140" s="304"/>
      <c r="HQ140" s="304"/>
      <c r="HR140" s="304"/>
      <c r="HS140" s="304"/>
      <c r="HT140" s="304"/>
      <c r="HU140" s="304"/>
      <c r="HV140" s="304"/>
      <c r="HW140" s="304"/>
      <c r="HX140" s="304"/>
      <c r="HY140" s="304"/>
      <c r="HZ140" s="304"/>
      <c r="IA140" s="304"/>
      <c r="IB140" s="304"/>
      <c r="IC140" s="304"/>
      <c r="ID140" s="304"/>
      <c r="IE140" s="304"/>
      <c r="IF140" s="304"/>
      <c r="IG140" s="304"/>
      <c r="IH140" s="304"/>
      <c r="II140" s="304"/>
      <c r="IJ140" s="304"/>
      <c r="IK140" s="304"/>
      <c r="IL140" s="304"/>
      <c r="IM140" s="304"/>
      <c r="IN140" s="304"/>
      <c r="IO140" s="304"/>
      <c r="IP140" s="304"/>
      <c r="IQ140" s="304"/>
      <c r="IR140" s="304"/>
      <c r="IS140" s="304"/>
      <c r="IT140" s="304"/>
      <c r="IU140" s="304"/>
      <c r="IV140" s="304"/>
    </row>
    <row r="141" spans="1:256" ht="23.25">
      <c r="A141" s="309" t="s">
        <v>222</v>
      </c>
      <c r="B141" s="350" t="s">
        <v>807</v>
      </c>
      <c r="C141" s="319">
        <f aca="true" t="shared" si="19" ref="C141:C144">+E141/$E$140</f>
        <v>0.5</v>
      </c>
      <c r="D141" s="310"/>
      <c r="E141" s="299">
        <v>96456.5</v>
      </c>
      <c r="F141" s="351"/>
      <c r="G141" s="298">
        <f t="shared" si="10"/>
        <v>1</v>
      </c>
      <c r="H141" s="299">
        <f t="shared" si="15"/>
        <v>96456.5</v>
      </c>
      <c r="I141" s="337">
        <f>+E141</f>
        <v>96456.5</v>
      </c>
      <c r="J141" s="320">
        <f t="shared" si="0"/>
        <v>0</v>
      </c>
      <c r="K141" s="322">
        <v>0</v>
      </c>
      <c r="M141" s="174">
        <f t="shared" si="1"/>
        <v>0</v>
      </c>
      <c r="O141" s="144"/>
      <c r="FH141" s="304"/>
      <c r="FI141" s="304"/>
      <c r="FJ141" s="304"/>
      <c r="FK141" s="304"/>
      <c r="FL141" s="304"/>
      <c r="FM141" s="304"/>
      <c r="FN141" s="304"/>
      <c r="FO141" s="304"/>
      <c r="FP141" s="304"/>
      <c r="FQ141" s="304"/>
      <c r="FR141" s="304"/>
      <c r="FS141" s="304"/>
      <c r="FT141" s="304"/>
      <c r="FU141" s="304"/>
      <c r="FV141" s="304"/>
      <c r="FW141" s="304"/>
      <c r="FX141" s="304"/>
      <c r="FY141" s="304"/>
      <c r="FZ141" s="304"/>
      <c r="GA141" s="304"/>
      <c r="GB141" s="304"/>
      <c r="GC141" s="304"/>
      <c r="GD141" s="304"/>
      <c r="GE141" s="304"/>
      <c r="GF141" s="304"/>
      <c r="GG141" s="304"/>
      <c r="GH141" s="304"/>
      <c r="GI141" s="304"/>
      <c r="GJ141" s="304"/>
      <c r="GK141" s="304"/>
      <c r="GL141" s="304"/>
      <c r="GM141" s="304"/>
      <c r="GN141" s="304"/>
      <c r="GO141" s="304"/>
      <c r="GP141" s="304"/>
      <c r="GQ141" s="304"/>
      <c r="GR141" s="304"/>
      <c r="GS141" s="304"/>
      <c r="GT141" s="304"/>
      <c r="GU141" s="304"/>
      <c r="GV141" s="304"/>
      <c r="GW141" s="304"/>
      <c r="GX141" s="304"/>
      <c r="GY141" s="304"/>
      <c r="GZ141" s="304"/>
      <c r="HA141" s="304"/>
      <c r="HB141" s="304"/>
      <c r="HC141" s="304"/>
      <c r="HD141" s="304"/>
      <c r="HE141" s="304"/>
      <c r="HF141" s="304"/>
      <c r="HG141" s="304"/>
      <c r="HH141" s="304"/>
      <c r="HI141" s="304"/>
      <c r="HJ141" s="304"/>
      <c r="HK141" s="304"/>
      <c r="HL141" s="304"/>
      <c r="HM141" s="304"/>
      <c r="HN141" s="304"/>
      <c r="HO141" s="304"/>
      <c r="HP141" s="304"/>
      <c r="HQ141" s="304"/>
      <c r="HR141" s="304"/>
      <c r="HS141" s="304"/>
      <c r="HT141" s="304"/>
      <c r="HU141" s="304"/>
      <c r="HV141" s="304"/>
      <c r="HW141" s="304"/>
      <c r="HX141" s="304"/>
      <c r="HY141" s="304"/>
      <c r="HZ141" s="304"/>
      <c r="IA141" s="304"/>
      <c r="IB141" s="304"/>
      <c r="IC141" s="304"/>
      <c r="ID141" s="304"/>
      <c r="IE141" s="304"/>
      <c r="IF141" s="304"/>
      <c r="IG141" s="304"/>
      <c r="IH141" s="304"/>
      <c r="II141" s="304"/>
      <c r="IJ141" s="304"/>
      <c r="IK141" s="304"/>
      <c r="IL141" s="304"/>
      <c r="IM141" s="304"/>
      <c r="IN141" s="304"/>
      <c r="IO141" s="304"/>
      <c r="IP141" s="304"/>
      <c r="IQ141" s="304"/>
      <c r="IR141" s="304"/>
      <c r="IS141" s="304"/>
      <c r="IT141" s="304"/>
      <c r="IU141" s="304"/>
      <c r="IV141" s="304"/>
    </row>
    <row r="142" spans="1:256" ht="23.25">
      <c r="A142" s="309" t="s">
        <v>224</v>
      </c>
      <c r="B142" s="350" t="s">
        <v>225</v>
      </c>
      <c r="C142" s="352">
        <f t="shared" si="19"/>
        <v>0.3239802397972143</v>
      </c>
      <c r="D142" s="310"/>
      <c r="E142" s="299">
        <v>62500</v>
      </c>
      <c r="F142" s="351"/>
      <c r="G142" s="298">
        <f t="shared" si="10"/>
        <v>1</v>
      </c>
      <c r="H142" s="299">
        <f t="shared" si="15"/>
        <v>62500</v>
      </c>
      <c r="I142" s="337">
        <v>62500</v>
      </c>
      <c r="J142" s="320">
        <f t="shared" si="0"/>
        <v>0</v>
      </c>
      <c r="K142" s="322">
        <v>0</v>
      </c>
      <c r="M142" s="174">
        <f t="shared" si="1"/>
        <v>0</v>
      </c>
      <c r="O142" s="144"/>
      <c r="FH142" s="304"/>
      <c r="FI142" s="304"/>
      <c r="FJ142" s="304"/>
      <c r="FK142" s="304"/>
      <c r="FL142" s="304"/>
      <c r="FM142" s="304"/>
      <c r="FN142" s="304"/>
      <c r="FO142" s="304"/>
      <c r="FP142" s="304"/>
      <c r="FQ142" s="304"/>
      <c r="FR142" s="304"/>
      <c r="FS142" s="304"/>
      <c r="FT142" s="304"/>
      <c r="FU142" s="304"/>
      <c r="FV142" s="304"/>
      <c r="FW142" s="304"/>
      <c r="FX142" s="304"/>
      <c r="FY142" s="304"/>
      <c r="FZ142" s="304"/>
      <c r="GA142" s="304"/>
      <c r="GB142" s="304"/>
      <c r="GC142" s="304"/>
      <c r="GD142" s="304"/>
      <c r="GE142" s="304"/>
      <c r="GF142" s="304"/>
      <c r="GG142" s="304"/>
      <c r="GH142" s="304"/>
      <c r="GI142" s="304"/>
      <c r="GJ142" s="304"/>
      <c r="GK142" s="304"/>
      <c r="GL142" s="304"/>
      <c r="GM142" s="304"/>
      <c r="GN142" s="304"/>
      <c r="GO142" s="304"/>
      <c r="GP142" s="304"/>
      <c r="GQ142" s="304"/>
      <c r="GR142" s="304"/>
      <c r="GS142" s="304"/>
      <c r="GT142" s="304"/>
      <c r="GU142" s="304"/>
      <c r="GV142" s="304"/>
      <c r="GW142" s="304"/>
      <c r="GX142" s="304"/>
      <c r="GY142" s="304"/>
      <c r="GZ142" s="304"/>
      <c r="HA142" s="304"/>
      <c r="HB142" s="304"/>
      <c r="HC142" s="304"/>
      <c r="HD142" s="304"/>
      <c r="HE142" s="304"/>
      <c r="HF142" s="304"/>
      <c r="HG142" s="304"/>
      <c r="HH142" s="304"/>
      <c r="HI142" s="304"/>
      <c r="HJ142" s="304"/>
      <c r="HK142" s="304"/>
      <c r="HL142" s="304"/>
      <c r="HM142" s="304"/>
      <c r="HN142" s="304"/>
      <c r="HO142" s="304"/>
      <c r="HP142" s="304"/>
      <c r="HQ142" s="304"/>
      <c r="HR142" s="304"/>
      <c r="HS142" s="304"/>
      <c r="HT142" s="304"/>
      <c r="HU142" s="304"/>
      <c r="HV142" s="304"/>
      <c r="HW142" s="304"/>
      <c r="HX142" s="304"/>
      <c r="HY142" s="304"/>
      <c r="HZ142" s="304"/>
      <c r="IA142" s="304"/>
      <c r="IB142" s="304"/>
      <c r="IC142" s="304"/>
      <c r="ID142" s="304"/>
      <c r="IE142" s="304"/>
      <c r="IF142" s="304"/>
      <c r="IG142" s="304"/>
      <c r="IH142" s="304"/>
      <c r="II142" s="304"/>
      <c r="IJ142" s="304"/>
      <c r="IK142" s="304"/>
      <c r="IL142" s="304"/>
      <c r="IM142" s="304"/>
      <c r="IN142" s="304"/>
      <c r="IO142" s="304"/>
      <c r="IP142" s="304"/>
      <c r="IQ142" s="304"/>
      <c r="IR142" s="304"/>
      <c r="IS142" s="304"/>
      <c r="IT142" s="304"/>
      <c r="IU142" s="304"/>
      <c r="IV142" s="304"/>
    </row>
    <row r="143" spans="1:256" ht="23.25">
      <c r="A143" s="309" t="s">
        <v>226</v>
      </c>
      <c r="B143" s="350" t="s">
        <v>227</v>
      </c>
      <c r="C143" s="352">
        <f t="shared" si="19"/>
        <v>0.09826450265145428</v>
      </c>
      <c r="D143" s="310"/>
      <c r="E143" s="299">
        <f>+E140-E141-E142-E144</f>
        <v>18956.5</v>
      </c>
      <c r="F143" s="351"/>
      <c r="G143" s="298">
        <f t="shared" si="10"/>
        <v>1</v>
      </c>
      <c r="H143" s="299">
        <f t="shared" si="15"/>
        <v>18956.5</v>
      </c>
      <c r="I143" s="337">
        <v>18956.5</v>
      </c>
      <c r="J143" s="320">
        <f t="shared" si="0"/>
        <v>0</v>
      </c>
      <c r="K143" s="322">
        <v>0</v>
      </c>
      <c r="M143" s="174">
        <f t="shared" si="1"/>
        <v>0</v>
      </c>
      <c r="O143" s="144"/>
      <c r="FH143" s="304"/>
      <c r="FI143" s="304"/>
      <c r="FJ143" s="304"/>
      <c r="FK143" s="304"/>
      <c r="FL143" s="304"/>
      <c r="FM143" s="304"/>
      <c r="FN143" s="304"/>
      <c r="FO143" s="304"/>
      <c r="FP143" s="304"/>
      <c r="FQ143" s="304"/>
      <c r="FR143" s="304"/>
      <c r="FS143" s="304"/>
      <c r="FT143" s="304"/>
      <c r="FU143" s="304"/>
      <c r="FV143" s="304"/>
      <c r="FW143" s="304"/>
      <c r="FX143" s="304"/>
      <c r="FY143" s="304"/>
      <c r="FZ143" s="304"/>
      <c r="GA143" s="304"/>
      <c r="GB143" s="304"/>
      <c r="GC143" s="304"/>
      <c r="GD143" s="304"/>
      <c r="GE143" s="304"/>
      <c r="GF143" s="304"/>
      <c r="GG143" s="304"/>
      <c r="GH143" s="304"/>
      <c r="GI143" s="304"/>
      <c r="GJ143" s="304"/>
      <c r="GK143" s="304"/>
      <c r="GL143" s="304"/>
      <c r="GM143" s="304"/>
      <c r="GN143" s="304"/>
      <c r="GO143" s="304"/>
      <c r="GP143" s="304"/>
      <c r="GQ143" s="304"/>
      <c r="GR143" s="304"/>
      <c r="GS143" s="304"/>
      <c r="GT143" s="304"/>
      <c r="GU143" s="304"/>
      <c r="GV143" s="304"/>
      <c r="GW143" s="304"/>
      <c r="GX143" s="304"/>
      <c r="GY143" s="304"/>
      <c r="GZ143" s="304"/>
      <c r="HA143" s="304"/>
      <c r="HB143" s="304"/>
      <c r="HC143" s="304"/>
      <c r="HD143" s="304"/>
      <c r="HE143" s="304"/>
      <c r="HF143" s="304"/>
      <c r="HG143" s="304"/>
      <c r="HH143" s="304"/>
      <c r="HI143" s="304"/>
      <c r="HJ143" s="304"/>
      <c r="HK143" s="304"/>
      <c r="HL143" s="304"/>
      <c r="HM143" s="304"/>
      <c r="HN143" s="304"/>
      <c r="HO143" s="304"/>
      <c r="HP143" s="304"/>
      <c r="HQ143" s="304"/>
      <c r="HR143" s="304"/>
      <c r="HS143" s="304"/>
      <c r="HT143" s="304"/>
      <c r="HU143" s="304"/>
      <c r="HV143" s="304"/>
      <c r="HW143" s="304"/>
      <c r="HX143" s="304"/>
      <c r="HY143" s="304"/>
      <c r="HZ143" s="304"/>
      <c r="IA143" s="304"/>
      <c r="IB143" s="304"/>
      <c r="IC143" s="304"/>
      <c r="ID143" s="304"/>
      <c r="IE143" s="304"/>
      <c r="IF143" s="304"/>
      <c r="IG143" s="304"/>
      <c r="IH143" s="304"/>
      <c r="II143" s="304"/>
      <c r="IJ143" s="304"/>
      <c r="IK143" s="304"/>
      <c r="IL143" s="304"/>
      <c r="IM143" s="304"/>
      <c r="IN143" s="304"/>
      <c r="IO143" s="304"/>
      <c r="IP143" s="304"/>
      <c r="IQ143" s="304"/>
      <c r="IR143" s="304"/>
      <c r="IS143" s="304"/>
      <c r="IT143" s="304"/>
      <c r="IU143" s="304"/>
      <c r="IV143" s="304"/>
    </row>
    <row r="144" spans="1:256" ht="23.25">
      <c r="A144" s="309" t="s">
        <v>228</v>
      </c>
      <c r="B144" s="353" t="s">
        <v>808</v>
      </c>
      <c r="C144" s="352">
        <f t="shared" si="19"/>
        <v>0.07775525755133143</v>
      </c>
      <c r="D144" s="335"/>
      <c r="E144" s="321">
        <v>15000</v>
      </c>
      <c r="F144" s="351"/>
      <c r="G144" s="298">
        <f t="shared" si="10"/>
        <v>1</v>
      </c>
      <c r="H144" s="299">
        <f t="shared" si="15"/>
        <v>15000</v>
      </c>
      <c r="I144" s="337">
        <v>15000</v>
      </c>
      <c r="J144" s="320">
        <f t="shared" si="0"/>
        <v>0</v>
      </c>
      <c r="K144" s="322">
        <v>0</v>
      </c>
      <c r="M144" s="174">
        <f t="shared" si="1"/>
        <v>0</v>
      </c>
      <c r="O144" s="144"/>
      <c r="FH144" s="304"/>
      <c r="FI144" s="304"/>
      <c r="FJ144" s="304"/>
      <c r="FK144" s="304"/>
      <c r="FL144" s="304"/>
      <c r="FM144" s="304"/>
      <c r="FN144" s="304"/>
      <c r="FO144" s="304"/>
      <c r="FP144" s="304"/>
      <c r="FQ144" s="304"/>
      <c r="FR144" s="304"/>
      <c r="FS144" s="304"/>
      <c r="FT144" s="304"/>
      <c r="FU144" s="304"/>
      <c r="FV144" s="304"/>
      <c r="FW144" s="304"/>
      <c r="FX144" s="304"/>
      <c r="FY144" s="304"/>
      <c r="FZ144" s="304"/>
      <c r="GA144" s="304"/>
      <c r="GB144" s="304"/>
      <c r="GC144" s="304"/>
      <c r="GD144" s="304"/>
      <c r="GE144" s="304"/>
      <c r="GF144" s="304"/>
      <c r="GG144" s="304"/>
      <c r="GH144" s="304"/>
      <c r="GI144" s="304"/>
      <c r="GJ144" s="304"/>
      <c r="GK144" s="304"/>
      <c r="GL144" s="304"/>
      <c r="GM144" s="304"/>
      <c r="GN144" s="304"/>
      <c r="GO144" s="304"/>
      <c r="GP144" s="304"/>
      <c r="GQ144" s="304"/>
      <c r="GR144" s="304"/>
      <c r="GS144" s="304"/>
      <c r="GT144" s="304"/>
      <c r="GU144" s="304"/>
      <c r="GV144" s="304"/>
      <c r="GW144" s="304"/>
      <c r="GX144" s="304"/>
      <c r="GY144" s="304"/>
      <c r="GZ144" s="304"/>
      <c r="HA144" s="304"/>
      <c r="HB144" s="304"/>
      <c r="HC144" s="304"/>
      <c r="HD144" s="304"/>
      <c r="HE144" s="304"/>
      <c r="HF144" s="304"/>
      <c r="HG144" s="304"/>
      <c r="HH144" s="304"/>
      <c r="HI144" s="304"/>
      <c r="HJ144" s="304"/>
      <c r="HK144" s="304"/>
      <c r="HL144" s="304"/>
      <c r="HM144" s="304"/>
      <c r="HN144" s="304"/>
      <c r="HO144" s="304"/>
      <c r="HP144" s="304"/>
      <c r="HQ144" s="304"/>
      <c r="HR144" s="304"/>
      <c r="HS144" s="304"/>
      <c r="HT144" s="304"/>
      <c r="HU144" s="304"/>
      <c r="HV144" s="304"/>
      <c r="HW144" s="304"/>
      <c r="HX144" s="304"/>
      <c r="HY144" s="304"/>
      <c r="HZ144" s="304"/>
      <c r="IA144" s="304"/>
      <c r="IB144" s="304"/>
      <c r="IC144" s="304"/>
      <c r="ID144" s="304"/>
      <c r="IE144" s="304"/>
      <c r="IF144" s="304"/>
      <c r="IG144" s="304"/>
      <c r="IH144" s="304"/>
      <c r="II144" s="304"/>
      <c r="IJ144" s="304"/>
      <c r="IK144" s="304"/>
      <c r="IL144" s="304"/>
      <c r="IM144" s="304"/>
      <c r="IN144" s="304"/>
      <c r="IO144" s="304"/>
      <c r="IP144" s="304"/>
      <c r="IQ144" s="304"/>
      <c r="IR144" s="304"/>
      <c r="IS144" s="304"/>
      <c r="IT144" s="304"/>
      <c r="IU144" s="304"/>
      <c r="IV144" s="304"/>
    </row>
    <row r="145" spans="1:15" ht="23.25">
      <c r="A145" s="259" t="s">
        <v>230</v>
      </c>
      <c r="B145" s="260" t="s">
        <v>231</v>
      </c>
      <c r="C145" s="261">
        <v>0.1</v>
      </c>
      <c r="D145" s="262">
        <v>385828.5</v>
      </c>
      <c r="E145" s="265">
        <v>385828.5</v>
      </c>
      <c r="F145" s="263"/>
      <c r="G145" s="264">
        <f t="shared" si="10"/>
        <v>1</v>
      </c>
      <c r="H145" s="265">
        <f t="shared" si="15"/>
        <v>385828.5</v>
      </c>
      <c r="I145" s="249">
        <f>SUM(I146:I158)+I161+I162+I163</f>
        <v>385828.5</v>
      </c>
      <c r="J145" s="264">
        <f t="shared" si="0"/>
        <v>0</v>
      </c>
      <c r="K145" s="266">
        <f>SUM(K146:K158)+SUM(K161:K163)</f>
        <v>0</v>
      </c>
      <c r="L145" s="174">
        <f>+I146+I147+I148+I149+I150+I151+I152+I153+I155+I154+I156+I157+I158+I161+I162+I163</f>
        <v>385828.5</v>
      </c>
      <c r="M145" s="174">
        <f t="shared" si="1"/>
        <v>0</v>
      </c>
      <c r="O145" s="144"/>
    </row>
    <row r="146" spans="1:256" ht="23.25">
      <c r="A146" s="309" t="s">
        <v>232</v>
      </c>
      <c r="B146" s="294" t="s">
        <v>233</v>
      </c>
      <c r="C146" s="319">
        <f>E146/E145</f>
        <v>0.02851007636812729</v>
      </c>
      <c r="D146" s="310"/>
      <c r="E146" s="299">
        <v>11000</v>
      </c>
      <c r="F146" s="311"/>
      <c r="G146" s="320">
        <f t="shared" si="10"/>
        <v>1</v>
      </c>
      <c r="H146" s="321">
        <f t="shared" si="15"/>
        <v>11000</v>
      </c>
      <c r="I146" s="337">
        <v>11000</v>
      </c>
      <c r="J146" s="320">
        <f t="shared" si="0"/>
        <v>0</v>
      </c>
      <c r="K146" s="300">
        <v>0</v>
      </c>
      <c r="M146" s="174">
        <f t="shared" si="1"/>
        <v>0</v>
      </c>
      <c r="O146" s="144"/>
      <c r="FH146" s="304"/>
      <c r="FI146" s="304"/>
      <c r="FJ146" s="304"/>
      <c r="FK146" s="304"/>
      <c r="FL146" s="304"/>
      <c r="FM146" s="304"/>
      <c r="FN146" s="304"/>
      <c r="FO146" s="304"/>
      <c r="FP146" s="304"/>
      <c r="FQ146" s="304"/>
      <c r="FR146" s="304"/>
      <c r="FS146" s="304"/>
      <c r="FT146" s="304"/>
      <c r="FU146" s="304"/>
      <c r="FV146" s="304"/>
      <c r="FW146" s="304"/>
      <c r="FX146" s="304"/>
      <c r="FY146" s="304"/>
      <c r="FZ146" s="304"/>
      <c r="GA146" s="304"/>
      <c r="GB146" s="304"/>
      <c r="GC146" s="304"/>
      <c r="GD146" s="304"/>
      <c r="GE146" s="304"/>
      <c r="GF146" s="304"/>
      <c r="GG146" s="304"/>
      <c r="GH146" s="304"/>
      <c r="GI146" s="304"/>
      <c r="GJ146" s="304"/>
      <c r="GK146" s="304"/>
      <c r="GL146" s="304"/>
      <c r="GM146" s="304"/>
      <c r="GN146" s="304"/>
      <c r="GO146" s="304"/>
      <c r="GP146" s="304"/>
      <c r="GQ146" s="304"/>
      <c r="GR146" s="304"/>
      <c r="GS146" s="304"/>
      <c r="GT146" s="304"/>
      <c r="GU146" s="304"/>
      <c r="GV146" s="304"/>
      <c r="GW146" s="304"/>
      <c r="GX146" s="304"/>
      <c r="GY146" s="304"/>
      <c r="GZ146" s="304"/>
      <c r="HA146" s="304"/>
      <c r="HB146" s="304"/>
      <c r="HC146" s="304"/>
      <c r="HD146" s="304"/>
      <c r="HE146" s="304"/>
      <c r="HF146" s="304"/>
      <c r="HG146" s="304"/>
      <c r="HH146" s="304"/>
      <c r="HI146" s="304"/>
      <c r="HJ146" s="304"/>
      <c r="HK146" s="304"/>
      <c r="HL146" s="304"/>
      <c r="HM146" s="304"/>
      <c r="HN146" s="304"/>
      <c r="HO146" s="304"/>
      <c r="HP146" s="304"/>
      <c r="HQ146" s="304"/>
      <c r="HR146" s="304"/>
      <c r="HS146" s="304"/>
      <c r="HT146" s="304"/>
      <c r="HU146" s="304"/>
      <c r="HV146" s="304"/>
      <c r="HW146" s="304"/>
      <c r="HX146" s="304"/>
      <c r="HY146" s="304"/>
      <c r="HZ146" s="304"/>
      <c r="IA146" s="304"/>
      <c r="IB146" s="304"/>
      <c r="IC146" s="304"/>
      <c r="ID146" s="304"/>
      <c r="IE146" s="304"/>
      <c r="IF146" s="304"/>
      <c r="IG146" s="304"/>
      <c r="IH146" s="304"/>
      <c r="II146" s="304"/>
      <c r="IJ146" s="304"/>
      <c r="IK146" s="304"/>
      <c r="IL146" s="304"/>
      <c r="IM146" s="304"/>
      <c r="IN146" s="304"/>
      <c r="IO146" s="304"/>
      <c r="IP146" s="304"/>
      <c r="IQ146" s="304"/>
      <c r="IR146" s="304"/>
      <c r="IS146" s="304"/>
      <c r="IT146" s="304"/>
      <c r="IU146" s="304"/>
      <c r="IV146" s="304"/>
    </row>
    <row r="147" spans="1:256" ht="23.25">
      <c r="A147" s="309" t="s">
        <v>234</v>
      </c>
      <c r="B147" s="294" t="s">
        <v>235</v>
      </c>
      <c r="C147" s="319">
        <f>+E147/E145</f>
        <v>0.018142775870626456</v>
      </c>
      <c r="D147" s="310"/>
      <c r="E147" s="299">
        <v>7000</v>
      </c>
      <c r="F147" s="311"/>
      <c r="G147" s="320">
        <f t="shared" si="10"/>
        <v>1</v>
      </c>
      <c r="H147" s="321">
        <f t="shared" si="15"/>
        <v>7000</v>
      </c>
      <c r="I147" s="337">
        <v>7000</v>
      </c>
      <c r="J147" s="320">
        <f t="shared" si="0"/>
        <v>0</v>
      </c>
      <c r="K147" s="300">
        <v>0</v>
      </c>
      <c r="M147" s="174">
        <f t="shared" si="1"/>
        <v>0</v>
      </c>
      <c r="O147" s="144"/>
      <c r="FH147" s="304"/>
      <c r="FI147" s="304"/>
      <c r="FJ147" s="304"/>
      <c r="FK147" s="304"/>
      <c r="FL147" s="304"/>
      <c r="FM147" s="304"/>
      <c r="FN147" s="304"/>
      <c r="FO147" s="304"/>
      <c r="FP147" s="304"/>
      <c r="FQ147" s="304"/>
      <c r="FR147" s="304"/>
      <c r="FS147" s="304"/>
      <c r="FT147" s="304"/>
      <c r="FU147" s="304"/>
      <c r="FV147" s="304"/>
      <c r="FW147" s="304"/>
      <c r="FX147" s="304"/>
      <c r="FY147" s="304"/>
      <c r="FZ147" s="304"/>
      <c r="GA147" s="304"/>
      <c r="GB147" s="304"/>
      <c r="GC147" s="304"/>
      <c r="GD147" s="304"/>
      <c r="GE147" s="304"/>
      <c r="GF147" s="304"/>
      <c r="GG147" s="304"/>
      <c r="GH147" s="304"/>
      <c r="GI147" s="304"/>
      <c r="GJ147" s="304"/>
      <c r="GK147" s="304"/>
      <c r="GL147" s="304"/>
      <c r="GM147" s="304"/>
      <c r="GN147" s="304"/>
      <c r="GO147" s="304"/>
      <c r="GP147" s="304"/>
      <c r="GQ147" s="304"/>
      <c r="GR147" s="304"/>
      <c r="GS147" s="304"/>
      <c r="GT147" s="304"/>
      <c r="GU147" s="304"/>
      <c r="GV147" s="304"/>
      <c r="GW147" s="304"/>
      <c r="GX147" s="304"/>
      <c r="GY147" s="304"/>
      <c r="GZ147" s="304"/>
      <c r="HA147" s="304"/>
      <c r="HB147" s="304"/>
      <c r="HC147" s="304"/>
      <c r="HD147" s="304"/>
      <c r="HE147" s="304"/>
      <c r="HF147" s="304"/>
      <c r="HG147" s="304"/>
      <c r="HH147" s="304"/>
      <c r="HI147" s="304"/>
      <c r="HJ147" s="304"/>
      <c r="HK147" s="304"/>
      <c r="HL147" s="304"/>
      <c r="HM147" s="304"/>
      <c r="HN147" s="304"/>
      <c r="HO147" s="304"/>
      <c r="HP147" s="304"/>
      <c r="HQ147" s="304"/>
      <c r="HR147" s="304"/>
      <c r="HS147" s="304"/>
      <c r="HT147" s="304"/>
      <c r="HU147" s="304"/>
      <c r="HV147" s="304"/>
      <c r="HW147" s="304"/>
      <c r="HX147" s="304"/>
      <c r="HY147" s="304"/>
      <c r="HZ147" s="304"/>
      <c r="IA147" s="304"/>
      <c r="IB147" s="304"/>
      <c r="IC147" s="304"/>
      <c r="ID147" s="304"/>
      <c r="IE147" s="304"/>
      <c r="IF147" s="304"/>
      <c r="IG147" s="304"/>
      <c r="IH147" s="304"/>
      <c r="II147" s="304"/>
      <c r="IJ147" s="304"/>
      <c r="IK147" s="304"/>
      <c r="IL147" s="304"/>
      <c r="IM147" s="304"/>
      <c r="IN147" s="304"/>
      <c r="IO147" s="304"/>
      <c r="IP147" s="304"/>
      <c r="IQ147" s="304"/>
      <c r="IR147" s="304"/>
      <c r="IS147" s="304"/>
      <c r="IT147" s="304"/>
      <c r="IU147" s="304"/>
      <c r="IV147" s="304"/>
    </row>
    <row r="148" spans="1:256" ht="23.25">
      <c r="A148" s="309" t="s">
        <v>236</v>
      </c>
      <c r="B148" s="294" t="s">
        <v>237</v>
      </c>
      <c r="C148" s="319">
        <f>+E148/E145</f>
        <v>0.06479562810938021</v>
      </c>
      <c r="D148" s="310"/>
      <c r="E148" s="299">
        <v>25000</v>
      </c>
      <c r="F148" s="311"/>
      <c r="G148" s="320">
        <f t="shared" si="10"/>
        <v>1</v>
      </c>
      <c r="H148" s="321">
        <f t="shared" si="15"/>
        <v>25000</v>
      </c>
      <c r="I148" s="337">
        <v>25000</v>
      </c>
      <c r="J148" s="320">
        <f t="shared" si="0"/>
        <v>0</v>
      </c>
      <c r="K148" s="300">
        <v>0</v>
      </c>
      <c r="M148" s="174">
        <f t="shared" si="1"/>
        <v>0</v>
      </c>
      <c r="O148" s="144"/>
      <c r="FH148" s="304"/>
      <c r="FI148" s="304"/>
      <c r="FJ148" s="304"/>
      <c r="FK148" s="304"/>
      <c r="FL148" s="304"/>
      <c r="FM148" s="304"/>
      <c r="FN148" s="304"/>
      <c r="FO148" s="304"/>
      <c r="FP148" s="304"/>
      <c r="FQ148" s="304"/>
      <c r="FR148" s="304"/>
      <c r="FS148" s="304"/>
      <c r="FT148" s="304"/>
      <c r="FU148" s="304"/>
      <c r="FV148" s="304"/>
      <c r="FW148" s="304"/>
      <c r="FX148" s="304"/>
      <c r="FY148" s="304"/>
      <c r="FZ148" s="304"/>
      <c r="GA148" s="304"/>
      <c r="GB148" s="304"/>
      <c r="GC148" s="304"/>
      <c r="GD148" s="304"/>
      <c r="GE148" s="304"/>
      <c r="GF148" s="304"/>
      <c r="GG148" s="304"/>
      <c r="GH148" s="304"/>
      <c r="GI148" s="304"/>
      <c r="GJ148" s="304"/>
      <c r="GK148" s="304"/>
      <c r="GL148" s="304"/>
      <c r="GM148" s="304"/>
      <c r="GN148" s="304"/>
      <c r="GO148" s="304"/>
      <c r="GP148" s="304"/>
      <c r="GQ148" s="304"/>
      <c r="GR148" s="304"/>
      <c r="GS148" s="304"/>
      <c r="GT148" s="304"/>
      <c r="GU148" s="304"/>
      <c r="GV148" s="304"/>
      <c r="GW148" s="304"/>
      <c r="GX148" s="304"/>
      <c r="GY148" s="304"/>
      <c r="GZ148" s="304"/>
      <c r="HA148" s="304"/>
      <c r="HB148" s="304"/>
      <c r="HC148" s="304"/>
      <c r="HD148" s="304"/>
      <c r="HE148" s="304"/>
      <c r="HF148" s="304"/>
      <c r="HG148" s="304"/>
      <c r="HH148" s="304"/>
      <c r="HI148" s="304"/>
      <c r="HJ148" s="304"/>
      <c r="HK148" s="304"/>
      <c r="HL148" s="304"/>
      <c r="HM148" s="304"/>
      <c r="HN148" s="304"/>
      <c r="HO148" s="304"/>
      <c r="HP148" s="304"/>
      <c r="HQ148" s="304"/>
      <c r="HR148" s="304"/>
      <c r="HS148" s="304"/>
      <c r="HT148" s="304"/>
      <c r="HU148" s="304"/>
      <c r="HV148" s="304"/>
      <c r="HW148" s="304"/>
      <c r="HX148" s="304"/>
      <c r="HY148" s="304"/>
      <c r="HZ148" s="304"/>
      <c r="IA148" s="304"/>
      <c r="IB148" s="304"/>
      <c r="IC148" s="304"/>
      <c r="ID148" s="304"/>
      <c r="IE148" s="304"/>
      <c r="IF148" s="304"/>
      <c r="IG148" s="304"/>
      <c r="IH148" s="304"/>
      <c r="II148" s="304"/>
      <c r="IJ148" s="304"/>
      <c r="IK148" s="304"/>
      <c r="IL148" s="304"/>
      <c r="IM148" s="304"/>
      <c r="IN148" s="304"/>
      <c r="IO148" s="304"/>
      <c r="IP148" s="304"/>
      <c r="IQ148" s="304"/>
      <c r="IR148" s="304"/>
      <c r="IS148" s="304"/>
      <c r="IT148" s="304"/>
      <c r="IU148" s="304"/>
      <c r="IV148" s="304"/>
    </row>
    <row r="149" spans="1:256" ht="23.25">
      <c r="A149" s="309" t="s">
        <v>238</v>
      </c>
      <c r="B149" s="294" t="s">
        <v>239</v>
      </c>
      <c r="C149" s="319">
        <f>+E149/E145</f>
        <v>0.02851007636812729</v>
      </c>
      <c r="D149" s="310"/>
      <c r="E149" s="299">
        <v>11000</v>
      </c>
      <c r="F149" s="311"/>
      <c r="G149" s="320">
        <f t="shared" si="10"/>
        <v>1</v>
      </c>
      <c r="H149" s="321">
        <f t="shared" si="15"/>
        <v>11000</v>
      </c>
      <c r="I149" s="337">
        <v>11000</v>
      </c>
      <c r="J149" s="320">
        <f t="shared" si="0"/>
        <v>0</v>
      </c>
      <c r="K149" s="300">
        <v>0</v>
      </c>
      <c r="M149" s="174">
        <f t="shared" si="1"/>
        <v>0</v>
      </c>
      <c r="O149" s="144"/>
      <c r="FH149" s="304"/>
      <c r="FI149" s="304"/>
      <c r="FJ149" s="304"/>
      <c r="FK149" s="304"/>
      <c r="FL149" s="304"/>
      <c r="FM149" s="304"/>
      <c r="FN149" s="304"/>
      <c r="FO149" s="304"/>
      <c r="FP149" s="304"/>
      <c r="FQ149" s="304"/>
      <c r="FR149" s="304"/>
      <c r="FS149" s="304"/>
      <c r="FT149" s="304"/>
      <c r="FU149" s="304"/>
      <c r="FV149" s="304"/>
      <c r="FW149" s="304"/>
      <c r="FX149" s="304"/>
      <c r="FY149" s="304"/>
      <c r="FZ149" s="304"/>
      <c r="GA149" s="304"/>
      <c r="GB149" s="304"/>
      <c r="GC149" s="304"/>
      <c r="GD149" s="304"/>
      <c r="GE149" s="304"/>
      <c r="GF149" s="304"/>
      <c r="GG149" s="304"/>
      <c r="GH149" s="304"/>
      <c r="GI149" s="304"/>
      <c r="GJ149" s="304"/>
      <c r="GK149" s="304"/>
      <c r="GL149" s="304"/>
      <c r="GM149" s="304"/>
      <c r="GN149" s="304"/>
      <c r="GO149" s="304"/>
      <c r="GP149" s="304"/>
      <c r="GQ149" s="304"/>
      <c r="GR149" s="304"/>
      <c r="GS149" s="304"/>
      <c r="GT149" s="304"/>
      <c r="GU149" s="304"/>
      <c r="GV149" s="304"/>
      <c r="GW149" s="304"/>
      <c r="GX149" s="304"/>
      <c r="GY149" s="304"/>
      <c r="GZ149" s="304"/>
      <c r="HA149" s="304"/>
      <c r="HB149" s="304"/>
      <c r="HC149" s="304"/>
      <c r="HD149" s="304"/>
      <c r="HE149" s="304"/>
      <c r="HF149" s="304"/>
      <c r="HG149" s="304"/>
      <c r="HH149" s="304"/>
      <c r="HI149" s="304"/>
      <c r="HJ149" s="304"/>
      <c r="HK149" s="304"/>
      <c r="HL149" s="304"/>
      <c r="HM149" s="304"/>
      <c r="HN149" s="304"/>
      <c r="HO149" s="304"/>
      <c r="HP149" s="304"/>
      <c r="HQ149" s="304"/>
      <c r="HR149" s="304"/>
      <c r="HS149" s="304"/>
      <c r="HT149" s="304"/>
      <c r="HU149" s="304"/>
      <c r="HV149" s="304"/>
      <c r="HW149" s="304"/>
      <c r="HX149" s="304"/>
      <c r="HY149" s="304"/>
      <c r="HZ149" s="304"/>
      <c r="IA149" s="304"/>
      <c r="IB149" s="304"/>
      <c r="IC149" s="304"/>
      <c r="ID149" s="304"/>
      <c r="IE149" s="304"/>
      <c r="IF149" s="304"/>
      <c r="IG149" s="304"/>
      <c r="IH149" s="304"/>
      <c r="II149" s="304"/>
      <c r="IJ149" s="304"/>
      <c r="IK149" s="304"/>
      <c r="IL149" s="304"/>
      <c r="IM149" s="304"/>
      <c r="IN149" s="304"/>
      <c r="IO149" s="304"/>
      <c r="IP149" s="304"/>
      <c r="IQ149" s="304"/>
      <c r="IR149" s="304"/>
      <c r="IS149" s="304"/>
      <c r="IT149" s="304"/>
      <c r="IU149" s="304"/>
      <c r="IV149" s="304"/>
    </row>
    <row r="150" spans="1:256" ht="23.25">
      <c r="A150" s="309" t="s">
        <v>240</v>
      </c>
      <c r="B150" s="294" t="s">
        <v>241</v>
      </c>
      <c r="C150" s="319">
        <f>+E150/E145</f>
        <v>0.03628555174125291</v>
      </c>
      <c r="D150" s="310"/>
      <c r="E150" s="299">
        <v>14000</v>
      </c>
      <c r="F150" s="311"/>
      <c r="G150" s="320">
        <f t="shared" si="10"/>
        <v>1</v>
      </c>
      <c r="H150" s="321">
        <f t="shared" si="15"/>
        <v>14000</v>
      </c>
      <c r="I150" s="337">
        <v>14000</v>
      </c>
      <c r="J150" s="320">
        <f t="shared" si="0"/>
        <v>0</v>
      </c>
      <c r="K150" s="300">
        <v>0</v>
      </c>
      <c r="M150" s="174">
        <f t="shared" si="1"/>
        <v>0</v>
      </c>
      <c r="O150" s="144"/>
      <c r="FH150" s="304"/>
      <c r="FI150" s="304"/>
      <c r="FJ150" s="304"/>
      <c r="FK150" s="304"/>
      <c r="FL150" s="304"/>
      <c r="FM150" s="304"/>
      <c r="FN150" s="304"/>
      <c r="FO150" s="304"/>
      <c r="FP150" s="304"/>
      <c r="FQ150" s="304"/>
      <c r="FR150" s="304"/>
      <c r="FS150" s="304"/>
      <c r="FT150" s="304"/>
      <c r="FU150" s="304"/>
      <c r="FV150" s="304"/>
      <c r="FW150" s="304"/>
      <c r="FX150" s="304"/>
      <c r="FY150" s="304"/>
      <c r="FZ150" s="304"/>
      <c r="GA150" s="304"/>
      <c r="GB150" s="304"/>
      <c r="GC150" s="304"/>
      <c r="GD150" s="304"/>
      <c r="GE150" s="304"/>
      <c r="GF150" s="304"/>
      <c r="GG150" s="304"/>
      <c r="GH150" s="304"/>
      <c r="GI150" s="304"/>
      <c r="GJ150" s="304"/>
      <c r="GK150" s="304"/>
      <c r="GL150" s="304"/>
      <c r="GM150" s="304"/>
      <c r="GN150" s="304"/>
      <c r="GO150" s="304"/>
      <c r="GP150" s="304"/>
      <c r="GQ150" s="304"/>
      <c r="GR150" s="304"/>
      <c r="GS150" s="304"/>
      <c r="GT150" s="304"/>
      <c r="GU150" s="304"/>
      <c r="GV150" s="304"/>
      <c r="GW150" s="304"/>
      <c r="GX150" s="304"/>
      <c r="GY150" s="304"/>
      <c r="GZ150" s="304"/>
      <c r="HA150" s="304"/>
      <c r="HB150" s="304"/>
      <c r="HC150" s="304"/>
      <c r="HD150" s="304"/>
      <c r="HE150" s="304"/>
      <c r="HF150" s="304"/>
      <c r="HG150" s="304"/>
      <c r="HH150" s="304"/>
      <c r="HI150" s="304"/>
      <c r="HJ150" s="304"/>
      <c r="HK150" s="304"/>
      <c r="HL150" s="304"/>
      <c r="HM150" s="304"/>
      <c r="HN150" s="304"/>
      <c r="HO150" s="304"/>
      <c r="HP150" s="304"/>
      <c r="HQ150" s="304"/>
      <c r="HR150" s="304"/>
      <c r="HS150" s="304"/>
      <c r="HT150" s="304"/>
      <c r="HU150" s="304"/>
      <c r="HV150" s="304"/>
      <c r="HW150" s="304"/>
      <c r="HX150" s="304"/>
      <c r="HY150" s="304"/>
      <c r="HZ150" s="304"/>
      <c r="IA150" s="304"/>
      <c r="IB150" s="304"/>
      <c r="IC150" s="304"/>
      <c r="ID150" s="304"/>
      <c r="IE150" s="304"/>
      <c r="IF150" s="304"/>
      <c r="IG150" s="304"/>
      <c r="IH150" s="304"/>
      <c r="II150" s="304"/>
      <c r="IJ150" s="304"/>
      <c r="IK150" s="304"/>
      <c r="IL150" s="304"/>
      <c r="IM150" s="304"/>
      <c r="IN150" s="304"/>
      <c r="IO150" s="304"/>
      <c r="IP150" s="304"/>
      <c r="IQ150" s="304"/>
      <c r="IR150" s="304"/>
      <c r="IS150" s="304"/>
      <c r="IT150" s="304"/>
      <c r="IU150" s="304"/>
      <c r="IV150" s="304"/>
    </row>
    <row r="151" spans="1:256" ht="26.25" customHeight="1">
      <c r="A151" s="309" t="s">
        <v>242</v>
      </c>
      <c r="B151" s="294" t="s">
        <v>243</v>
      </c>
      <c r="C151" s="319">
        <f>+E151/E145</f>
        <v>0.07257110348250582</v>
      </c>
      <c r="D151" s="310"/>
      <c r="E151" s="299">
        <v>28000</v>
      </c>
      <c r="F151" s="311"/>
      <c r="G151" s="320">
        <f t="shared" si="10"/>
        <v>1</v>
      </c>
      <c r="H151" s="321">
        <f t="shared" si="15"/>
        <v>28000</v>
      </c>
      <c r="I151" s="337">
        <v>28000</v>
      </c>
      <c r="J151" s="320">
        <f t="shared" si="0"/>
        <v>0</v>
      </c>
      <c r="K151" s="300">
        <v>0</v>
      </c>
      <c r="M151" s="174">
        <f t="shared" si="1"/>
        <v>0</v>
      </c>
      <c r="O151" s="144"/>
      <c r="FH151" s="304"/>
      <c r="FI151" s="304"/>
      <c r="FJ151" s="304"/>
      <c r="FK151" s="304"/>
      <c r="FL151" s="304"/>
      <c r="FM151" s="304"/>
      <c r="FN151" s="304"/>
      <c r="FO151" s="304"/>
      <c r="FP151" s="304"/>
      <c r="FQ151" s="304"/>
      <c r="FR151" s="304"/>
      <c r="FS151" s="304"/>
      <c r="FT151" s="304"/>
      <c r="FU151" s="304"/>
      <c r="FV151" s="304"/>
      <c r="FW151" s="304"/>
      <c r="FX151" s="304"/>
      <c r="FY151" s="304"/>
      <c r="FZ151" s="304"/>
      <c r="GA151" s="304"/>
      <c r="GB151" s="304"/>
      <c r="GC151" s="304"/>
      <c r="GD151" s="304"/>
      <c r="GE151" s="304"/>
      <c r="GF151" s="304"/>
      <c r="GG151" s="304"/>
      <c r="GH151" s="304"/>
      <c r="GI151" s="304"/>
      <c r="GJ151" s="304"/>
      <c r="GK151" s="304"/>
      <c r="GL151" s="304"/>
      <c r="GM151" s="304"/>
      <c r="GN151" s="304"/>
      <c r="GO151" s="304"/>
      <c r="GP151" s="304"/>
      <c r="GQ151" s="304"/>
      <c r="GR151" s="304"/>
      <c r="GS151" s="304"/>
      <c r="GT151" s="304"/>
      <c r="GU151" s="304"/>
      <c r="GV151" s="304"/>
      <c r="GW151" s="304"/>
      <c r="GX151" s="304"/>
      <c r="GY151" s="304"/>
      <c r="GZ151" s="304"/>
      <c r="HA151" s="304"/>
      <c r="HB151" s="304"/>
      <c r="HC151" s="304"/>
      <c r="HD151" s="304"/>
      <c r="HE151" s="304"/>
      <c r="HF151" s="304"/>
      <c r="HG151" s="304"/>
      <c r="HH151" s="304"/>
      <c r="HI151" s="304"/>
      <c r="HJ151" s="304"/>
      <c r="HK151" s="304"/>
      <c r="HL151" s="304"/>
      <c r="HM151" s="304"/>
      <c r="HN151" s="304"/>
      <c r="HO151" s="304"/>
      <c r="HP151" s="304"/>
      <c r="HQ151" s="304"/>
      <c r="HR151" s="304"/>
      <c r="HS151" s="304"/>
      <c r="HT151" s="304"/>
      <c r="HU151" s="304"/>
      <c r="HV151" s="304"/>
      <c r="HW151" s="304"/>
      <c r="HX151" s="304"/>
      <c r="HY151" s="304"/>
      <c r="HZ151" s="304"/>
      <c r="IA151" s="304"/>
      <c r="IB151" s="304"/>
      <c r="IC151" s="304"/>
      <c r="ID151" s="304"/>
      <c r="IE151" s="304"/>
      <c r="IF151" s="304"/>
      <c r="IG151" s="304"/>
      <c r="IH151" s="304"/>
      <c r="II151" s="304"/>
      <c r="IJ151" s="304"/>
      <c r="IK151" s="304"/>
      <c r="IL151" s="304"/>
      <c r="IM151" s="304"/>
      <c r="IN151" s="304"/>
      <c r="IO151" s="304"/>
      <c r="IP151" s="304"/>
      <c r="IQ151" s="304"/>
      <c r="IR151" s="304"/>
      <c r="IS151" s="304"/>
      <c r="IT151" s="304"/>
      <c r="IU151" s="304"/>
      <c r="IV151" s="304"/>
    </row>
    <row r="152" spans="1:256" ht="23.25">
      <c r="A152" s="309" t="s">
        <v>244</v>
      </c>
      <c r="B152" s="294" t="s">
        <v>245</v>
      </c>
      <c r="C152" s="319">
        <f aca="true" t="shared" si="20" ref="C152:C163">E152/$E$145</f>
        <v>0.0311019014925025</v>
      </c>
      <c r="D152" s="310"/>
      <c r="E152" s="299">
        <v>12000</v>
      </c>
      <c r="F152" s="311"/>
      <c r="G152" s="320">
        <f t="shared" si="10"/>
        <v>1</v>
      </c>
      <c r="H152" s="321">
        <f t="shared" si="15"/>
        <v>12000</v>
      </c>
      <c r="I152" s="337">
        <v>12000</v>
      </c>
      <c r="J152" s="320">
        <f t="shared" si="0"/>
        <v>0</v>
      </c>
      <c r="K152" s="300">
        <v>0</v>
      </c>
      <c r="M152" s="174">
        <f t="shared" si="1"/>
        <v>0</v>
      </c>
      <c r="O152" s="144"/>
      <c r="FH152" s="304"/>
      <c r="FI152" s="304"/>
      <c r="FJ152" s="304"/>
      <c r="FK152" s="304"/>
      <c r="FL152" s="304"/>
      <c r="FM152" s="304"/>
      <c r="FN152" s="304"/>
      <c r="FO152" s="304"/>
      <c r="FP152" s="304"/>
      <c r="FQ152" s="304"/>
      <c r="FR152" s="304"/>
      <c r="FS152" s="304"/>
      <c r="FT152" s="304"/>
      <c r="FU152" s="304"/>
      <c r="FV152" s="304"/>
      <c r="FW152" s="304"/>
      <c r="FX152" s="304"/>
      <c r="FY152" s="304"/>
      <c r="FZ152" s="304"/>
      <c r="GA152" s="304"/>
      <c r="GB152" s="304"/>
      <c r="GC152" s="304"/>
      <c r="GD152" s="304"/>
      <c r="GE152" s="304"/>
      <c r="GF152" s="304"/>
      <c r="GG152" s="304"/>
      <c r="GH152" s="304"/>
      <c r="GI152" s="304"/>
      <c r="GJ152" s="304"/>
      <c r="GK152" s="304"/>
      <c r="GL152" s="304"/>
      <c r="GM152" s="304"/>
      <c r="GN152" s="304"/>
      <c r="GO152" s="304"/>
      <c r="GP152" s="304"/>
      <c r="GQ152" s="304"/>
      <c r="GR152" s="304"/>
      <c r="GS152" s="304"/>
      <c r="GT152" s="304"/>
      <c r="GU152" s="304"/>
      <c r="GV152" s="304"/>
      <c r="GW152" s="304"/>
      <c r="GX152" s="304"/>
      <c r="GY152" s="304"/>
      <c r="GZ152" s="304"/>
      <c r="HA152" s="304"/>
      <c r="HB152" s="304"/>
      <c r="HC152" s="304"/>
      <c r="HD152" s="304"/>
      <c r="HE152" s="304"/>
      <c r="HF152" s="304"/>
      <c r="HG152" s="304"/>
      <c r="HH152" s="304"/>
      <c r="HI152" s="304"/>
      <c r="HJ152" s="304"/>
      <c r="HK152" s="304"/>
      <c r="HL152" s="304"/>
      <c r="HM152" s="304"/>
      <c r="HN152" s="304"/>
      <c r="HO152" s="304"/>
      <c r="HP152" s="304"/>
      <c r="HQ152" s="304"/>
      <c r="HR152" s="304"/>
      <c r="HS152" s="304"/>
      <c r="HT152" s="304"/>
      <c r="HU152" s="304"/>
      <c r="HV152" s="304"/>
      <c r="HW152" s="304"/>
      <c r="HX152" s="304"/>
      <c r="HY152" s="304"/>
      <c r="HZ152" s="304"/>
      <c r="IA152" s="304"/>
      <c r="IB152" s="304"/>
      <c r="IC152" s="304"/>
      <c r="ID152" s="304"/>
      <c r="IE152" s="304"/>
      <c r="IF152" s="304"/>
      <c r="IG152" s="304"/>
      <c r="IH152" s="304"/>
      <c r="II152" s="304"/>
      <c r="IJ152" s="304"/>
      <c r="IK152" s="304"/>
      <c r="IL152" s="304"/>
      <c r="IM152" s="304"/>
      <c r="IN152" s="304"/>
      <c r="IO152" s="304"/>
      <c r="IP152" s="304"/>
      <c r="IQ152" s="304"/>
      <c r="IR152" s="304"/>
      <c r="IS152" s="304"/>
      <c r="IT152" s="304"/>
      <c r="IU152" s="304"/>
      <c r="IV152" s="304"/>
    </row>
    <row r="153" spans="1:256" ht="23.25">
      <c r="A153" s="309" t="s">
        <v>246</v>
      </c>
      <c r="B153" s="294" t="s">
        <v>247</v>
      </c>
      <c r="C153" s="319">
        <f t="shared" si="20"/>
        <v>0.011663213059688437</v>
      </c>
      <c r="D153" s="310"/>
      <c r="E153" s="299">
        <v>4500</v>
      </c>
      <c r="F153" s="311"/>
      <c r="G153" s="320">
        <f t="shared" si="10"/>
        <v>1</v>
      </c>
      <c r="H153" s="321">
        <f t="shared" si="15"/>
        <v>4500</v>
      </c>
      <c r="I153" s="337">
        <v>4500</v>
      </c>
      <c r="J153" s="320">
        <f t="shared" si="0"/>
        <v>0</v>
      </c>
      <c r="K153" s="300">
        <v>0</v>
      </c>
      <c r="M153" s="174">
        <f t="shared" si="1"/>
        <v>0</v>
      </c>
      <c r="O153" s="144"/>
      <c r="FH153" s="304"/>
      <c r="FI153" s="304"/>
      <c r="FJ153" s="304"/>
      <c r="FK153" s="304"/>
      <c r="FL153" s="304"/>
      <c r="FM153" s="304"/>
      <c r="FN153" s="304"/>
      <c r="FO153" s="304"/>
      <c r="FP153" s="304"/>
      <c r="FQ153" s="304"/>
      <c r="FR153" s="304"/>
      <c r="FS153" s="304"/>
      <c r="FT153" s="304"/>
      <c r="FU153" s="304"/>
      <c r="FV153" s="304"/>
      <c r="FW153" s="304"/>
      <c r="FX153" s="304"/>
      <c r="FY153" s="304"/>
      <c r="FZ153" s="304"/>
      <c r="GA153" s="304"/>
      <c r="GB153" s="304"/>
      <c r="GC153" s="304"/>
      <c r="GD153" s="304"/>
      <c r="GE153" s="304"/>
      <c r="GF153" s="304"/>
      <c r="GG153" s="304"/>
      <c r="GH153" s="304"/>
      <c r="GI153" s="304"/>
      <c r="GJ153" s="304"/>
      <c r="GK153" s="304"/>
      <c r="GL153" s="304"/>
      <c r="GM153" s="304"/>
      <c r="GN153" s="304"/>
      <c r="GO153" s="304"/>
      <c r="GP153" s="304"/>
      <c r="GQ153" s="304"/>
      <c r="GR153" s="304"/>
      <c r="GS153" s="304"/>
      <c r="GT153" s="304"/>
      <c r="GU153" s="304"/>
      <c r="GV153" s="304"/>
      <c r="GW153" s="304"/>
      <c r="GX153" s="304"/>
      <c r="GY153" s="304"/>
      <c r="GZ153" s="304"/>
      <c r="HA153" s="304"/>
      <c r="HB153" s="304"/>
      <c r="HC153" s="304"/>
      <c r="HD153" s="304"/>
      <c r="HE153" s="304"/>
      <c r="HF153" s="304"/>
      <c r="HG153" s="304"/>
      <c r="HH153" s="304"/>
      <c r="HI153" s="304"/>
      <c r="HJ153" s="304"/>
      <c r="HK153" s="304"/>
      <c r="HL153" s="304"/>
      <c r="HM153" s="304"/>
      <c r="HN153" s="304"/>
      <c r="HO153" s="304"/>
      <c r="HP153" s="304"/>
      <c r="HQ153" s="304"/>
      <c r="HR153" s="304"/>
      <c r="HS153" s="304"/>
      <c r="HT153" s="304"/>
      <c r="HU153" s="304"/>
      <c r="HV153" s="304"/>
      <c r="HW153" s="304"/>
      <c r="HX153" s="304"/>
      <c r="HY153" s="304"/>
      <c r="HZ153" s="304"/>
      <c r="IA153" s="304"/>
      <c r="IB153" s="304"/>
      <c r="IC153" s="304"/>
      <c r="ID153" s="304"/>
      <c r="IE153" s="304"/>
      <c r="IF153" s="304"/>
      <c r="IG153" s="304"/>
      <c r="IH153" s="304"/>
      <c r="II153" s="304"/>
      <c r="IJ153" s="304"/>
      <c r="IK153" s="304"/>
      <c r="IL153" s="304"/>
      <c r="IM153" s="304"/>
      <c r="IN153" s="304"/>
      <c r="IO153" s="304"/>
      <c r="IP153" s="304"/>
      <c r="IQ153" s="304"/>
      <c r="IR153" s="304"/>
      <c r="IS153" s="304"/>
      <c r="IT153" s="304"/>
      <c r="IU153" s="304"/>
      <c r="IV153" s="304"/>
    </row>
    <row r="154" spans="1:256" ht="23.25">
      <c r="A154" s="309" t="s">
        <v>248</v>
      </c>
      <c r="B154" s="294" t="s">
        <v>249</v>
      </c>
      <c r="C154" s="319">
        <f t="shared" si="20"/>
        <v>0.011663213059688437</v>
      </c>
      <c r="D154" s="310"/>
      <c r="E154" s="299">
        <v>4500</v>
      </c>
      <c r="F154" s="311"/>
      <c r="G154" s="320">
        <f t="shared" si="10"/>
        <v>1</v>
      </c>
      <c r="H154" s="321">
        <f t="shared" si="15"/>
        <v>4500</v>
      </c>
      <c r="I154" s="337">
        <v>4500</v>
      </c>
      <c r="J154" s="320">
        <f t="shared" si="0"/>
        <v>0</v>
      </c>
      <c r="K154" s="300">
        <v>0</v>
      </c>
      <c r="M154" s="174">
        <f t="shared" si="1"/>
        <v>0</v>
      </c>
      <c r="O154" s="144"/>
      <c r="FH154" s="304"/>
      <c r="FI154" s="304"/>
      <c r="FJ154" s="304"/>
      <c r="FK154" s="304"/>
      <c r="FL154" s="304"/>
      <c r="FM154" s="304"/>
      <c r="FN154" s="304"/>
      <c r="FO154" s="304"/>
      <c r="FP154" s="304"/>
      <c r="FQ154" s="304"/>
      <c r="FR154" s="304"/>
      <c r="FS154" s="304"/>
      <c r="FT154" s="304"/>
      <c r="FU154" s="304"/>
      <c r="FV154" s="304"/>
      <c r="FW154" s="304"/>
      <c r="FX154" s="304"/>
      <c r="FY154" s="304"/>
      <c r="FZ154" s="304"/>
      <c r="GA154" s="304"/>
      <c r="GB154" s="304"/>
      <c r="GC154" s="304"/>
      <c r="GD154" s="304"/>
      <c r="GE154" s="304"/>
      <c r="GF154" s="304"/>
      <c r="GG154" s="304"/>
      <c r="GH154" s="304"/>
      <c r="GI154" s="304"/>
      <c r="GJ154" s="304"/>
      <c r="GK154" s="304"/>
      <c r="GL154" s="304"/>
      <c r="GM154" s="304"/>
      <c r="GN154" s="304"/>
      <c r="GO154" s="304"/>
      <c r="GP154" s="304"/>
      <c r="GQ154" s="304"/>
      <c r="GR154" s="304"/>
      <c r="GS154" s="304"/>
      <c r="GT154" s="304"/>
      <c r="GU154" s="304"/>
      <c r="GV154" s="304"/>
      <c r="GW154" s="304"/>
      <c r="GX154" s="304"/>
      <c r="GY154" s="304"/>
      <c r="GZ154" s="304"/>
      <c r="HA154" s="304"/>
      <c r="HB154" s="304"/>
      <c r="HC154" s="304"/>
      <c r="HD154" s="304"/>
      <c r="HE154" s="304"/>
      <c r="HF154" s="304"/>
      <c r="HG154" s="304"/>
      <c r="HH154" s="304"/>
      <c r="HI154" s="304"/>
      <c r="HJ154" s="304"/>
      <c r="HK154" s="304"/>
      <c r="HL154" s="304"/>
      <c r="HM154" s="304"/>
      <c r="HN154" s="304"/>
      <c r="HO154" s="304"/>
      <c r="HP154" s="304"/>
      <c r="HQ154" s="304"/>
      <c r="HR154" s="304"/>
      <c r="HS154" s="304"/>
      <c r="HT154" s="304"/>
      <c r="HU154" s="304"/>
      <c r="HV154" s="304"/>
      <c r="HW154" s="304"/>
      <c r="HX154" s="304"/>
      <c r="HY154" s="304"/>
      <c r="HZ154" s="304"/>
      <c r="IA154" s="304"/>
      <c r="IB154" s="304"/>
      <c r="IC154" s="304"/>
      <c r="ID154" s="304"/>
      <c r="IE154" s="304"/>
      <c r="IF154" s="304"/>
      <c r="IG154" s="304"/>
      <c r="IH154" s="304"/>
      <c r="II154" s="304"/>
      <c r="IJ154" s="304"/>
      <c r="IK154" s="304"/>
      <c r="IL154" s="304"/>
      <c r="IM154" s="304"/>
      <c r="IN154" s="304"/>
      <c r="IO154" s="304"/>
      <c r="IP154" s="304"/>
      <c r="IQ154" s="304"/>
      <c r="IR154" s="304"/>
      <c r="IS154" s="304"/>
      <c r="IT154" s="304"/>
      <c r="IU154" s="304"/>
      <c r="IV154" s="304"/>
    </row>
    <row r="155" spans="1:256" ht="23.25">
      <c r="A155" s="309" t="s">
        <v>250</v>
      </c>
      <c r="B155" s="294" t="s">
        <v>251</v>
      </c>
      <c r="C155" s="319">
        <f t="shared" si="20"/>
        <v>0.12959125621876041</v>
      </c>
      <c r="D155" s="310"/>
      <c r="E155" s="299">
        <v>50000</v>
      </c>
      <c r="F155" s="311"/>
      <c r="G155" s="320">
        <f t="shared" si="10"/>
        <v>1</v>
      </c>
      <c r="H155" s="321">
        <f t="shared" si="15"/>
        <v>50000</v>
      </c>
      <c r="I155" s="337">
        <v>50000</v>
      </c>
      <c r="J155" s="320">
        <f t="shared" si="0"/>
        <v>0</v>
      </c>
      <c r="K155" s="300">
        <v>0</v>
      </c>
      <c r="M155" s="174">
        <f t="shared" si="1"/>
        <v>0</v>
      </c>
      <c r="O155" s="144"/>
      <c r="FH155" s="304"/>
      <c r="FI155" s="304"/>
      <c r="FJ155" s="304"/>
      <c r="FK155" s="304"/>
      <c r="FL155" s="304"/>
      <c r="FM155" s="304"/>
      <c r="FN155" s="304"/>
      <c r="FO155" s="304"/>
      <c r="FP155" s="304"/>
      <c r="FQ155" s="304"/>
      <c r="FR155" s="304"/>
      <c r="FS155" s="304"/>
      <c r="FT155" s="304"/>
      <c r="FU155" s="304"/>
      <c r="FV155" s="304"/>
      <c r="FW155" s="304"/>
      <c r="FX155" s="304"/>
      <c r="FY155" s="304"/>
      <c r="FZ155" s="304"/>
      <c r="GA155" s="304"/>
      <c r="GB155" s="304"/>
      <c r="GC155" s="304"/>
      <c r="GD155" s="304"/>
      <c r="GE155" s="304"/>
      <c r="GF155" s="304"/>
      <c r="GG155" s="304"/>
      <c r="GH155" s="304"/>
      <c r="GI155" s="304"/>
      <c r="GJ155" s="304"/>
      <c r="GK155" s="304"/>
      <c r="GL155" s="304"/>
      <c r="GM155" s="304"/>
      <c r="GN155" s="304"/>
      <c r="GO155" s="304"/>
      <c r="GP155" s="304"/>
      <c r="GQ155" s="304"/>
      <c r="GR155" s="304"/>
      <c r="GS155" s="304"/>
      <c r="GT155" s="304"/>
      <c r="GU155" s="304"/>
      <c r="GV155" s="304"/>
      <c r="GW155" s="304"/>
      <c r="GX155" s="304"/>
      <c r="GY155" s="304"/>
      <c r="GZ155" s="304"/>
      <c r="HA155" s="304"/>
      <c r="HB155" s="304"/>
      <c r="HC155" s="304"/>
      <c r="HD155" s="304"/>
      <c r="HE155" s="304"/>
      <c r="HF155" s="304"/>
      <c r="HG155" s="304"/>
      <c r="HH155" s="304"/>
      <c r="HI155" s="304"/>
      <c r="HJ155" s="304"/>
      <c r="HK155" s="304"/>
      <c r="HL155" s="304"/>
      <c r="HM155" s="304"/>
      <c r="HN155" s="304"/>
      <c r="HO155" s="304"/>
      <c r="HP155" s="304"/>
      <c r="HQ155" s="304"/>
      <c r="HR155" s="304"/>
      <c r="HS155" s="304"/>
      <c r="HT155" s="304"/>
      <c r="HU155" s="304"/>
      <c r="HV155" s="304"/>
      <c r="HW155" s="304"/>
      <c r="HX155" s="304"/>
      <c r="HY155" s="304"/>
      <c r="HZ155" s="304"/>
      <c r="IA155" s="304"/>
      <c r="IB155" s="304"/>
      <c r="IC155" s="304"/>
      <c r="ID155" s="304"/>
      <c r="IE155" s="304"/>
      <c r="IF155" s="304"/>
      <c r="IG155" s="304"/>
      <c r="IH155" s="304"/>
      <c r="II155" s="304"/>
      <c r="IJ155" s="304"/>
      <c r="IK155" s="304"/>
      <c r="IL155" s="304"/>
      <c r="IM155" s="304"/>
      <c r="IN155" s="304"/>
      <c r="IO155" s="304"/>
      <c r="IP155" s="304"/>
      <c r="IQ155" s="304"/>
      <c r="IR155" s="304"/>
      <c r="IS155" s="304"/>
      <c r="IT155" s="304"/>
      <c r="IU155" s="304"/>
      <c r="IV155" s="304"/>
    </row>
    <row r="156" spans="1:256" ht="23.25">
      <c r="A156" s="309" t="s">
        <v>252</v>
      </c>
      <c r="B156" s="294" t="s">
        <v>253</v>
      </c>
      <c r="C156" s="319">
        <f t="shared" si="20"/>
        <v>0.10367300497500832</v>
      </c>
      <c r="D156" s="310"/>
      <c r="E156" s="299">
        <v>40000</v>
      </c>
      <c r="F156" s="311"/>
      <c r="G156" s="320">
        <f t="shared" si="10"/>
        <v>1</v>
      </c>
      <c r="H156" s="321">
        <f t="shared" si="15"/>
        <v>40000</v>
      </c>
      <c r="I156" s="337">
        <v>40000</v>
      </c>
      <c r="J156" s="320">
        <f t="shared" si="0"/>
        <v>0</v>
      </c>
      <c r="K156" s="300">
        <v>0</v>
      </c>
      <c r="M156" s="174">
        <f t="shared" si="1"/>
        <v>0</v>
      </c>
      <c r="O156" s="144"/>
      <c r="FH156" s="304"/>
      <c r="FI156" s="304"/>
      <c r="FJ156" s="304"/>
      <c r="FK156" s="304"/>
      <c r="FL156" s="304"/>
      <c r="FM156" s="304"/>
      <c r="FN156" s="304"/>
      <c r="FO156" s="304"/>
      <c r="FP156" s="304"/>
      <c r="FQ156" s="304"/>
      <c r="FR156" s="304"/>
      <c r="FS156" s="304"/>
      <c r="FT156" s="304"/>
      <c r="FU156" s="304"/>
      <c r="FV156" s="304"/>
      <c r="FW156" s="304"/>
      <c r="FX156" s="304"/>
      <c r="FY156" s="304"/>
      <c r="FZ156" s="304"/>
      <c r="GA156" s="304"/>
      <c r="GB156" s="304"/>
      <c r="GC156" s="304"/>
      <c r="GD156" s="304"/>
      <c r="GE156" s="304"/>
      <c r="GF156" s="304"/>
      <c r="GG156" s="304"/>
      <c r="GH156" s="304"/>
      <c r="GI156" s="304"/>
      <c r="GJ156" s="304"/>
      <c r="GK156" s="304"/>
      <c r="GL156" s="304"/>
      <c r="GM156" s="304"/>
      <c r="GN156" s="304"/>
      <c r="GO156" s="304"/>
      <c r="GP156" s="304"/>
      <c r="GQ156" s="304"/>
      <c r="GR156" s="304"/>
      <c r="GS156" s="304"/>
      <c r="GT156" s="304"/>
      <c r="GU156" s="304"/>
      <c r="GV156" s="304"/>
      <c r="GW156" s="304"/>
      <c r="GX156" s="304"/>
      <c r="GY156" s="304"/>
      <c r="GZ156" s="304"/>
      <c r="HA156" s="304"/>
      <c r="HB156" s="304"/>
      <c r="HC156" s="304"/>
      <c r="HD156" s="304"/>
      <c r="HE156" s="304"/>
      <c r="HF156" s="304"/>
      <c r="HG156" s="304"/>
      <c r="HH156" s="304"/>
      <c r="HI156" s="304"/>
      <c r="HJ156" s="304"/>
      <c r="HK156" s="304"/>
      <c r="HL156" s="304"/>
      <c r="HM156" s="304"/>
      <c r="HN156" s="304"/>
      <c r="HO156" s="304"/>
      <c r="HP156" s="304"/>
      <c r="HQ156" s="304"/>
      <c r="HR156" s="304"/>
      <c r="HS156" s="304"/>
      <c r="HT156" s="304"/>
      <c r="HU156" s="304"/>
      <c r="HV156" s="304"/>
      <c r="HW156" s="304"/>
      <c r="HX156" s="304"/>
      <c r="HY156" s="304"/>
      <c r="HZ156" s="304"/>
      <c r="IA156" s="304"/>
      <c r="IB156" s="304"/>
      <c r="IC156" s="304"/>
      <c r="ID156" s="304"/>
      <c r="IE156" s="304"/>
      <c r="IF156" s="304"/>
      <c r="IG156" s="304"/>
      <c r="IH156" s="304"/>
      <c r="II156" s="304"/>
      <c r="IJ156" s="304"/>
      <c r="IK156" s="304"/>
      <c r="IL156" s="304"/>
      <c r="IM156" s="304"/>
      <c r="IN156" s="304"/>
      <c r="IO156" s="304"/>
      <c r="IP156" s="304"/>
      <c r="IQ156" s="304"/>
      <c r="IR156" s="304"/>
      <c r="IS156" s="304"/>
      <c r="IT156" s="304"/>
      <c r="IU156" s="304"/>
      <c r="IV156" s="304"/>
    </row>
    <row r="157" spans="1:256" ht="23.25">
      <c r="A157" s="309" t="s">
        <v>254</v>
      </c>
      <c r="B157" s="294" t="s">
        <v>255</v>
      </c>
      <c r="C157" s="319">
        <f t="shared" si="20"/>
        <v>0.06479562810938021</v>
      </c>
      <c r="D157" s="310"/>
      <c r="E157" s="299">
        <v>25000</v>
      </c>
      <c r="F157" s="311"/>
      <c r="G157" s="320">
        <f t="shared" si="10"/>
        <v>1</v>
      </c>
      <c r="H157" s="321">
        <f t="shared" si="15"/>
        <v>25000</v>
      </c>
      <c r="I157" s="337">
        <v>25000</v>
      </c>
      <c r="J157" s="320">
        <f t="shared" si="0"/>
        <v>0</v>
      </c>
      <c r="K157" s="300">
        <v>0</v>
      </c>
      <c r="M157" s="174">
        <f t="shared" si="1"/>
        <v>0</v>
      </c>
      <c r="O157" s="144"/>
      <c r="FH157" s="304"/>
      <c r="FI157" s="304"/>
      <c r="FJ157" s="304"/>
      <c r="FK157" s="304"/>
      <c r="FL157" s="304"/>
      <c r="FM157" s="304"/>
      <c r="FN157" s="304"/>
      <c r="FO157" s="304"/>
      <c r="FP157" s="304"/>
      <c r="FQ157" s="304"/>
      <c r="FR157" s="304"/>
      <c r="FS157" s="304"/>
      <c r="FT157" s="304"/>
      <c r="FU157" s="304"/>
      <c r="FV157" s="304"/>
      <c r="FW157" s="304"/>
      <c r="FX157" s="304"/>
      <c r="FY157" s="304"/>
      <c r="FZ157" s="304"/>
      <c r="GA157" s="304"/>
      <c r="GB157" s="304"/>
      <c r="GC157" s="304"/>
      <c r="GD157" s="304"/>
      <c r="GE157" s="304"/>
      <c r="GF157" s="304"/>
      <c r="GG157" s="304"/>
      <c r="GH157" s="304"/>
      <c r="GI157" s="304"/>
      <c r="GJ157" s="304"/>
      <c r="GK157" s="304"/>
      <c r="GL157" s="304"/>
      <c r="GM157" s="304"/>
      <c r="GN157" s="304"/>
      <c r="GO157" s="304"/>
      <c r="GP157" s="304"/>
      <c r="GQ157" s="304"/>
      <c r="GR157" s="304"/>
      <c r="GS157" s="304"/>
      <c r="GT157" s="304"/>
      <c r="GU157" s="304"/>
      <c r="GV157" s="304"/>
      <c r="GW157" s="304"/>
      <c r="GX157" s="304"/>
      <c r="GY157" s="304"/>
      <c r="GZ157" s="304"/>
      <c r="HA157" s="304"/>
      <c r="HB157" s="304"/>
      <c r="HC157" s="304"/>
      <c r="HD157" s="304"/>
      <c r="HE157" s="304"/>
      <c r="HF157" s="304"/>
      <c r="HG157" s="304"/>
      <c r="HH157" s="304"/>
      <c r="HI157" s="304"/>
      <c r="HJ157" s="304"/>
      <c r="HK157" s="304"/>
      <c r="HL157" s="304"/>
      <c r="HM157" s="304"/>
      <c r="HN157" s="304"/>
      <c r="HO157" s="304"/>
      <c r="HP157" s="304"/>
      <c r="HQ157" s="304"/>
      <c r="HR157" s="304"/>
      <c r="HS157" s="304"/>
      <c r="HT157" s="304"/>
      <c r="HU157" s="304"/>
      <c r="HV157" s="304"/>
      <c r="HW157" s="304"/>
      <c r="HX157" s="304"/>
      <c r="HY157" s="304"/>
      <c r="HZ157" s="304"/>
      <c r="IA157" s="304"/>
      <c r="IB157" s="304"/>
      <c r="IC157" s="304"/>
      <c r="ID157" s="304"/>
      <c r="IE157" s="304"/>
      <c r="IF157" s="304"/>
      <c r="IG157" s="304"/>
      <c r="IH157" s="304"/>
      <c r="II157" s="304"/>
      <c r="IJ157" s="304"/>
      <c r="IK157" s="304"/>
      <c r="IL157" s="304"/>
      <c r="IM157" s="304"/>
      <c r="IN157" s="304"/>
      <c r="IO157" s="304"/>
      <c r="IP157" s="304"/>
      <c r="IQ157" s="304"/>
      <c r="IR157" s="304"/>
      <c r="IS157" s="304"/>
      <c r="IT157" s="304"/>
      <c r="IU157" s="304"/>
      <c r="IV157" s="304"/>
    </row>
    <row r="158" spans="1:256" ht="23.25">
      <c r="A158" s="309" t="s">
        <v>256</v>
      </c>
      <c r="B158" s="294" t="s">
        <v>257</v>
      </c>
      <c r="C158" s="319">
        <f t="shared" si="20"/>
        <v>0.23844791144251914</v>
      </c>
      <c r="D158" s="310"/>
      <c r="E158" s="299">
        <f>+E159+E160</f>
        <v>92000</v>
      </c>
      <c r="F158" s="311"/>
      <c r="G158" s="320">
        <f t="shared" si="10"/>
        <v>1</v>
      </c>
      <c r="H158" s="321">
        <f t="shared" si="15"/>
        <v>92000</v>
      </c>
      <c r="I158" s="337">
        <f>+I159+I160</f>
        <v>92000</v>
      </c>
      <c r="J158" s="320">
        <f t="shared" si="0"/>
        <v>0</v>
      </c>
      <c r="K158" s="300">
        <f>SUM(K159:K160)</f>
        <v>0</v>
      </c>
      <c r="M158" s="174">
        <f t="shared" si="1"/>
        <v>0</v>
      </c>
      <c r="O158" s="144"/>
      <c r="FH158" s="304"/>
      <c r="FI158" s="304"/>
      <c r="FJ158" s="304"/>
      <c r="FK158" s="304"/>
      <c r="FL158" s="304"/>
      <c r="FM158" s="304"/>
      <c r="FN158" s="304"/>
      <c r="FO158" s="304"/>
      <c r="FP158" s="304"/>
      <c r="FQ158" s="304"/>
      <c r="FR158" s="304"/>
      <c r="FS158" s="304"/>
      <c r="FT158" s="304"/>
      <c r="FU158" s="304"/>
      <c r="FV158" s="304"/>
      <c r="FW158" s="304"/>
      <c r="FX158" s="304"/>
      <c r="FY158" s="304"/>
      <c r="FZ158" s="304"/>
      <c r="GA158" s="304"/>
      <c r="GB158" s="304"/>
      <c r="GC158" s="304"/>
      <c r="GD158" s="304"/>
      <c r="GE158" s="304"/>
      <c r="GF158" s="304"/>
      <c r="GG158" s="304"/>
      <c r="GH158" s="304"/>
      <c r="GI158" s="304"/>
      <c r="GJ158" s="304"/>
      <c r="GK158" s="304"/>
      <c r="GL158" s="304"/>
      <c r="GM158" s="304"/>
      <c r="GN158" s="304"/>
      <c r="GO158" s="304"/>
      <c r="GP158" s="304"/>
      <c r="GQ158" s="304"/>
      <c r="GR158" s="304"/>
      <c r="GS158" s="304"/>
      <c r="GT158" s="304"/>
      <c r="GU158" s="304"/>
      <c r="GV158" s="304"/>
      <c r="GW158" s="304"/>
      <c r="GX158" s="304"/>
      <c r="GY158" s="304"/>
      <c r="GZ158" s="304"/>
      <c r="HA158" s="304"/>
      <c r="HB158" s="304"/>
      <c r="HC158" s="304"/>
      <c r="HD158" s="304"/>
      <c r="HE158" s="304"/>
      <c r="HF158" s="304"/>
      <c r="HG158" s="304"/>
      <c r="HH158" s="304"/>
      <c r="HI158" s="304"/>
      <c r="HJ158" s="304"/>
      <c r="HK158" s="304"/>
      <c r="HL158" s="304"/>
      <c r="HM158" s="304"/>
      <c r="HN158" s="304"/>
      <c r="HO158" s="304"/>
      <c r="HP158" s="304"/>
      <c r="HQ158" s="304"/>
      <c r="HR158" s="304"/>
      <c r="HS158" s="304"/>
      <c r="HT158" s="304"/>
      <c r="HU158" s="304"/>
      <c r="HV158" s="304"/>
      <c r="HW158" s="304"/>
      <c r="HX158" s="304"/>
      <c r="HY158" s="304"/>
      <c r="HZ158" s="304"/>
      <c r="IA158" s="304"/>
      <c r="IB158" s="304"/>
      <c r="IC158" s="304"/>
      <c r="ID158" s="304"/>
      <c r="IE158" s="304"/>
      <c r="IF158" s="304"/>
      <c r="IG158" s="304"/>
      <c r="IH158" s="304"/>
      <c r="II158" s="304"/>
      <c r="IJ158" s="304"/>
      <c r="IK158" s="304"/>
      <c r="IL158" s="304"/>
      <c r="IM158" s="304"/>
      <c r="IN158" s="304"/>
      <c r="IO158" s="304"/>
      <c r="IP158" s="304"/>
      <c r="IQ158" s="304"/>
      <c r="IR158" s="304"/>
      <c r="IS158" s="304"/>
      <c r="IT158" s="304"/>
      <c r="IU158" s="304"/>
      <c r="IV158" s="304"/>
    </row>
    <row r="159" spans="1:256" ht="23.25">
      <c r="A159" s="339" t="s">
        <v>258</v>
      </c>
      <c r="B159" s="354" t="s">
        <v>259</v>
      </c>
      <c r="C159" s="355">
        <f t="shared" si="20"/>
        <v>0.05183650248750416</v>
      </c>
      <c r="D159" s="356"/>
      <c r="E159" s="343">
        <v>20000</v>
      </c>
      <c r="F159" s="344"/>
      <c r="G159" s="357">
        <f t="shared" si="10"/>
        <v>1</v>
      </c>
      <c r="H159" s="358">
        <f t="shared" si="15"/>
        <v>20000</v>
      </c>
      <c r="I159" s="346">
        <v>20000</v>
      </c>
      <c r="J159" s="357">
        <f t="shared" si="0"/>
        <v>0</v>
      </c>
      <c r="K159" s="348">
        <v>0</v>
      </c>
      <c r="M159" s="174">
        <f t="shared" si="1"/>
        <v>0</v>
      </c>
      <c r="O159" s="144"/>
      <c r="FH159" s="359"/>
      <c r="FI159" s="359"/>
      <c r="FJ159" s="359"/>
      <c r="FK159" s="359"/>
      <c r="FL159" s="359"/>
      <c r="FM159" s="359"/>
      <c r="FN159" s="359"/>
      <c r="FO159" s="359"/>
      <c r="FP159" s="359"/>
      <c r="FQ159" s="359"/>
      <c r="FR159" s="359"/>
      <c r="FS159" s="359"/>
      <c r="FT159" s="359"/>
      <c r="FU159" s="359"/>
      <c r="FV159" s="359"/>
      <c r="FW159" s="359"/>
      <c r="FX159" s="359"/>
      <c r="FY159" s="359"/>
      <c r="FZ159" s="359"/>
      <c r="GA159" s="359"/>
      <c r="GB159" s="359"/>
      <c r="GC159" s="359"/>
      <c r="GD159" s="359"/>
      <c r="GE159" s="359"/>
      <c r="GF159" s="359"/>
      <c r="GG159" s="359"/>
      <c r="GH159" s="359"/>
      <c r="GI159" s="359"/>
      <c r="GJ159" s="359"/>
      <c r="GK159" s="359"/>
      <c r="GL159" s="359"/>
      <c r="GM159" s="359"/>
      <c r="GN159" s="359"/>
      <c r="GO159" s="359"/>
      <c r="GP159" s="359"/>
      <c r="GQ159" s="359"/>
      <c r="GR159" s="359"/>
      <c r="GS159" s="359"/>
      <c r="GT159" s="359"/>
      <c r="GU159" s="359"/>
      <c r="GV159" s="359"/>
      <c r="GW159" s="359"/>
      <c r="GX159" s="359"/>
      <c r="GY159" s="359"/>
      <c r="GZ159" s="359"/>
      <c r="HA159" s="359"/>
      <c r="HB159" s="359"/>
      <c r="HC159" s="359"/>
      <c r="HD159" s="359"/>
      <c r="HE159" s="359"/>
      <c r="HF159" s="359"/>
      <c r="HG159" s="359"/>
      <c r="HH159" s="359"/>
      <c r="HI159" s="359"/>
      <c r="HJ159" s="359"/>
      <c r="HK159" s="359"/>
      <c r="HL159" s="359"/>
      <c r="HM159" s="359"/>
      <c r="HN159" s="359"/>
      <c r="HO159" s="359"/>
      <c r="HP159" s="359"/>
      <c r="HQ159" s="359"/>
      <c r="HR159" s="359"/>
      <c r="HS159" s="359"/>
      <c r="HT159" s="359"/>
      <c r="HU159" s="359"/>
      <c r="HV159" s="359"/>
      <c r="HW159" s="359"/>
      <c r="HX159" s="359"/>
      <c r="HY159" s="359"/>
      <c r="HZ159" s="359"/>
      <c r="IA159" s="359"/>
      <c r="IB159" s="359"/>
      <c r="IC159" s="359"/>
      <c r="ID159" s="359"/>
      <c r="IE159" s="359"/>
      <c r="IF159" s="359"/>
      <c r="IG159" s="359"/>
      <c r="IH159" s="359"/>
      <c r="II159" s="359"/>
      <c r="IJ159" s="359"/>
      <c r="IK159" s="359"/>
      <c r="IL159" s="359"/>
      <c r="IM159" s="359"/>
      <c r="IN159" s="359"/>
      <c r="IO159" s="359"/>
      <c r="IP159" s="359"/>
      <c r="IQ159" s="359"/>
      <c r="IR159" s="359"/>
      <c r="IS159" s="359"/>
      <c r="IT159" s="359"/>
      <c r="IU159" s="359"/>
      <c r="IV159" s="359"/>
    </row>
    <row r="160" spans="1:256" ht="23.25">
      <c r="A160" s="339" t="s">
        <v>260</v>
      </c>
      <c r="B160" s="354" t="s">
        <v>261</v>
      </c>
      <c r="C160" s="355">
        <f t="shared" si="20"/>
        <v>0.186611408955015</v>
      </c>
      <c r="D160" s="356"/>
      <c r="E160" s="343">
        <v>72000</v>
      </c>
      <c r="F160" s="344"/>
      <c r="G160" s="357">
        <f t="shared" si="10"/>
        <v>1</v>
      </c>
      <c r="H160" s="358">
        <f t="shared" si="15"/>
        <v>72000</v>
      </c>
      <c r="I160" s="346">
        <v>72000</v>
      </c>
      <c r="J160" s="357">
        <f t="shared" si="0"/>
        <v>0</v>
      </c>
      <c r="K160" s="348">
        <v>0</v>
      </c>
      <c r="M160" s="174">
        <f t="shared" si="1"/>
        <v>0</v>
      </c>
      <c r="O160" s="144"/>
      <c r="FH160" s="359"/>
      <c r="FI160" s="359"/>
      <c r="FJ160" s="359"/>
      <c r="FK160" s="359"/>
      <c r="FL160" s="359"/>
      <c r="FM160" s="359"/>
      <c r="FN160" s="359"/>
      <c r="FO160" s="359"/>
      <c r="FP160" s="359"/>
      <c r="FQ160" s="359"/>
      <c r="FR160" s="359"/>
      <c r="FS160" s="359"/>
      <c r="FT160" s="359"/>
      <c r="FU160" s="359"/>
      <c r="FV160" s="359"/>
      <c r="FW160" s="359"/>
      <c r="FX160" s="359"/>
      <c r="FY160" s="359"/>
      <c r="FZ160" s="359"/>
      <c r="GA160" s="359"/>
      <c r="GB160" s="359"/>
      <c r="GC160" s="359"/>
      <c r="GD160" s="359"/>
      <c r="GE160" s="359"/>
      <c r="GF160" s="359"/>
      <c r="GG160" s="359"/>
      <c r="GH160" s="359"/>
      <c r="GI160" s="359"/>
      <c r="GJ160" s="359"/>
      <c r="GK160" s="359"/>
      <c r="GL160" s="359"/>
      <c r="GM160" s="359"/>
      <c r="GN160" s="359"/>
      <c r="GO160" s="359"/>
      <c r="GP160" s="359"/>
      <c r="GQ160" s="359"/>
      <c r="GR160" s="359"/>
      <c r="GS160" s="359"/>
      <c r="GT160" s="359"/>
      <c r="GU160" s="359"/>
      <c r="GV160" s="359"/>
      <c r="GW160" s="359"/>
      <c r="GX160" s="359"/>
      <c r="GY160" s="359"/>
      <c r="GZ160" s="359"/>
      <c r="HA160" s="359"/>
      <c r="HB160" s="359"/>
      <c r="HC160" s="359"/>
      <c r="HD160" s="359"/>
      <c r="HE160" s="359"/>
      <c r="HF160" s="359"/>
      <c r="HG160" s="359"/>
      <c r="HH160" s="359"/>
      <c r="HI160" s="359"/>
      <c r="HJ160" s="359"/>
      <c r="HK160" s="359"/>
      <c r="HL160" s="359"/>
      <c r="HM160" s="359"/>
      <c r="HN160" s="359"/>
      <c r="HO160" s="359"/>
      <c r="HP160" s="359"/>
      <c r="HQ160" s="359"/>
      <c r="HR160" s="359"/>
      <c r="HS160" s="359"/>
      <c r="HT160" s="359"/>
      <c r="HU160" s="359"/>
      <c r="HV160" s="359"/>
      <c r="HW160" s="359"/>
      <c r="HX160" s="359"/>
      <c r="HY160" s="359"/>
      <c r="HZ160" s="359"/>
      <c r="IA160" s="359"/>
      <c r="IB160" s="359"/>
      <c r="IC160" s="359"/>
      <c r="ID160" s="359"/>
      <c r="IE160" s="359"/>
      <c r="IF160" s="359"/>
      <c r="IG160" s="359"/>
      <c r="IH160" s="359"/>
      <c r="II160" s="359"/>
      <c r="IJ160" s="359"/>
      <c r="IK160" s="359"/>
      <c r="IL160" s="359"/>
      <c r="IM160" s="359"/>
      <c r="IN160" s="359"/>
      <c r="IO160" s="359"/>
      <c r="IP160" s="359"/>
      <c r="IQ160" s="359"/>
      <c r="IR160" s="359"/>
      <c r="IS160" s="359"/>
      <c r="IT160" s="359"/>
      <c r="IU160" s="359"/>
      <c r="IV160" s="359"/>
    </row>
    <row r="161" spans="1:256" ht="23.25">
      <c r="A161" s="309" t="s">
        <v>262</v>
      </c>
      <c r="B161" s="294" t="s">
        <v>263</v>
      </c>
      <c r="C161" s="319">
        <f t="shared" si="20"/>
        <v>0.05183650248750416</v>
      </c>
      <c r="D161" s="310"/>
      <c r="E161" s="299">
        <v>20000</v>
      </c>
      <c r="F161" s="311"/>
      <c r="G161" s="320">
        <f t="shared" si="10"/>
        <v>1</v>
      </c>
      <c r="H161" s="321">
        <f t="shared" si="15"/>
        <v>20000</v>
      </c>
      <c r="I161" s="337">
        <v>20000</v>
      </c>
      <c r="J161" s="320">
        <f t="shared" si="0"/>
        <v>0</v>
      </c>
      <c r="K161" s="300">
        <v>0</v>
      </c>
      <c r="M161" s="174">
        <f t="shared" si="1"/>
        <v>0</v>
      </c>
      <c r="O161" s="144"/>
      <c r="FH161" s="304"/>
      <c r="FI161" s="304"/>
      <c r="FJ161" s="304"/>
      <c r="FK161" s="304"/>
      <c r="FL161" s="304"/>
      <c r="FM161" s="304"/>
      <c r="FN161" s="304"/>
      <c r="FO161" s="304"/>
      <c r="FP161" s="304"/>
      <c r="FQ161" s="304"/>
      <c r="FR161" s="304"/>
      <c r="FS161" s="304"/>
      <c r="FT161" s="304"/>
      <c r="FU161" s="304"/>
      <c r="FV161" s="304"/>
      <c r="FW161" s="304"/>
      <c r="FX161" s="304"/>
      <c r="FY161" s="304"/>
      <c r="FZ161" s="304"/>
      <c r="GA161" s="304"/>
      <c r="GB161" s="304"/>
      <c r="GC161" s="304"/>
      <c r="GD161" s="304"/>
      <c r="GE161" s="304"/>
      <c r="GF161" s="304"/>
      <c r="GG161" s="304"/>
      <c r="GH161" s="304"/>
      <c r="GI161" s="304"/>
      <c r="GJ161" s="304"/>
      <c r="GK161" s="304"/>
      <c r="GL161" s="304"/>
      <c r="GM161" s="304"/>
      <c r="GN161" s="304"/>
      <c r="GO161" s="304"/>
      <c r="GP161" s="304"/>
      <c r="GQ161" s="304"/>
      <c r="GR161" s="304"/>
      <c r="GS161" s="304"/>
      <c r="GT161" s="304"/>
      <c r="GU161" s="304"/>
      <c r="GV161" s="304"/>
      <c r="GW161" s="304"/>
      <c r="GX161" s="304"/>
      <c r="GY161" s="304"/>
      <c r="GZ161" s="304"/>
      <c r="HA161" s="304"/>
      <c r="HB161" s="304"/>
      <c r="HC161" s="304"/>
      <c r="HD161" s="304"/>
      <c r="HE161" s="304"/>
      <c r="HF161" s="304"/>
      <c r="HG161" s="304"/>
      <c r="HH161" s="304"/>
      <c r="HI161" s="304"/>
      <c r="HJ161" s="304"/>
      <c r="HK161" s="304"/>
      <c r="HL161" s="304"/>
      <c r="HM161" s="304"/>
      <c r="HN161" s="304"/>
      <c r="HO161" s="304"/>
      <c r="HP161" s="304"/>
      <c r="HQ161" s="304"/>
      <c r="HR161" s="304"/>
      <c r="HS161" s="304"/>
      <c r="HT161" s="304"/>
      <c r="HU161" s="304"/>
      <c r="HV161" s="304"/>
      <c r="HW161" s="304"/>
      <c r="HX161" s="304"/>
      <c r="HY161" s="304"/>
      <c r="HZ161" s="304"/>
      <c r="IA161" s="304"/>
      <c r="IB161" s="304"/>
      <c r="IC161" s="304"/>
      <c r="ID161" s="304"/>
      <c r="IE161" s="304"/>
      <c r="IF161" s="304"/>
      <c r="IG161" s="304"/>
      <c r="IH161" s="304"/>
      <c r="II161" s="304"/>
      <c r="IJ161" s="304"/>
      <c r="IK161" s="304"/>
      <c r="IL161" s="304"/>
      <c r="IM161" s="304"/>
      <c r="IN161" s="304"/>
      <c r="IO161" s="304"/>
      <c r="IP161" s="304"/>
      <c r="IQ161" s="304"/>
      <c r="IR161" s="304"/>
      <c r="IS161" s="304"/>
      <c r="IT161" s="304"/>
      <c r="IU161" s="304"/>
      <c r="IV161" s="304"/>
    </row>
    <row r="162" spans="1:256" ht="23.25">
      <c r="A162" s="309" t="s">
        <v>264</v>
      </c>
      <c r="B162" s="294" t="s">
        <v>265</v>
      </c>
      <c r="C162" s="319">
        <f t="shared" si="20"/>
        <v>0.03065740348367215</v>
      </c>
      <c r="D162" s="310"/>
      <c r="E162" s="299">
        <v>11828.5</v>
      </c>
      <c r="F162" s="311"/>
      <c r="G162" s="320">
        <f t="shared" si="10"/>
        <v>1</v>
      </c>
      <c r="H162" s="321">
        <f t="shared" si="15"/>
        <v>11828.5</v>
      </c>
      <c r="I162" s="337">
        <v>11828.5</v>
      </c>
      <c r="J162" s="320">
        <f t="shared" si="0"/>
        <v>0</v>
      </c>
      <c r="K162" s="300">
        <v>0</v>
      </c>
      <c r="M162" s="174">
        <f t="shared" si="1"/>
        <v>0</v>
      </c>
      <c r="O162" s="144"/>
      <c r="FH162" s="304"/>
      <c r="FI162" s="304"/>
      <c r="FJ162" s="304"/>
      <c r="FK162" s="304"/>
      <c r="FL162" s="304"/>
      <c r="FM162" s="304"/>
      <c r="FN162" s="304"/>
      <c r="FO162" s="304"/>
      <c r="FP162" s="304"/>
      <c r="FQ162" s="304"/>
      <c r="FR162" s="304"/>
      <c r="FS162" s="304"/>
      <c r="FT162" s="304"/>
      <c r="FU162" s="304"/>
      <c r="FV162" s="304"/>
      <c r="FW162" s="304"/>
      <c r="FX162" s="304"/>
      <c r="FY162" s="304"/>
      <c r="FZ162" s="304"/>
      <c r="GA162" s="304"/>
      <c r="GB162" s="304"/>
      <c r="GC162" s="304"/>
      <c r="GD162" s="304"/>
      <c r="GE162" s="304"/>
      <c r="GF162" s="304"/>
      <c r="GG162" s="304"/>
      <c r="GH162" s="304"/>
      <c r="GI162" s="304"/>
      <c r="GJ162" s="304"/>
      <c r="GK162" s="304"/>
      <c r="GL162" s="304"/>
      <c r="GM162" s="304"/>
      <c r="GN162" s="304"/>
      <c r="GO162" s="304"/>
      <c r="GP162" s="304"/>
      <c r="GQ162" s="304"/>
      <c r="GR162" s="304"/>
      <c r="GS162" s="304"/>
      <c r="GT162" s="304"/>
      <c r="GU162" s="304"/>
      <c r="GV162" s="304"/>
      <c r="GW162" s="304"/>
      <c r="GX162" s="304"/>
      <c r="GY162" s="304"/>
      <c r="GZ162" s="304"/>
      <c r="HA162" s="304"/>
      <c r="HB162" s="304"/>
      <c r="HC162" s="304"/>
      <c r="HD162" s="304"/>
      <c r="HE162" s="304"/>
      <c r="HF162" s="304"/>
      <c r="HG162" s="304"/>
      <c r="HH162" s="304"/>
      <c r="HI162" s="304"/>
      <c r="HJ162" s="304"/>
      <c r="HK162" s="304"/>
      <c r="HL162" s="304"/>
      <c r="HM162" s="304"/>
      <c r="HN162" s="304"/>
      <c r="HO162" s="304"/>
      <c r="HP162" s="304"/>
      <c r="HQ162" s="304"/>
      <c r="HR162" s="304"/>
      <c r="HS162" s="304"/>
      <c r="HT162" s="304"/>
      <c r="HU162" s="304"/>
      <c r="HV162" s="304"/>
      <c r="HW162" s="304"/>
      <c r="HX162" s="304"/>
      <c r="HY162" s="304"/>
      <c r="HZ162" s="304"/>
      <c r="IA162" s="304"/>
      <c r="IB162" s="304"/>
      <c r="IC162" s="304"/>
      <c r="ID162" s="304"/>
      <c r="IE162" s="304"/>
      <c r="IF162" s="304"/>
      <c r="IG162" s="304"/>
      <c r="IH162" s="304"/>
      <c r="II162" s="304"/>
      <c r="IJ162" s="304"/>
      <c r="IK162" s="304"/>
      <c r="IL162" s="304"/>
      <c r="IM162" s="304"/>
      <c r="IN162" s="304"/>
      <c r="IO162" s="304"/>
      <c r="IP162" s="304"/>
      <c r="IQ162" s="304"/>
      <c r="IR162" s="304"/>
      <c r="IS162" s="304"/>
      <c r="IT162" s="304"/>
      <c r="IU162" s="304"/>
      <c r="IV162" s="304"/>
    </row>
    <row r="163" spans="1:256" ht="23.25">
      <c r="A163" s="360" t="s">
        <v>266</v>
      </c>
      <c r="B163" s="333" t="s">
        <v>267</v>
      </c>
      <c r="C163" s="361">
        <f t="shared" si="20"/>
        <v>0.07775475373125625</v>
      </c>
      <c r="D163" s="335"/>
      <c r="E163" s="321">
        <v>30000</v>
      </c>
      <c r="F163" s="351"/>
      <c r="G163" s="320">
        <f t="shared" si="10"/>
        <v>1</v>
      </c>
      <c r="H163" s="321">
        <f t="shared" si="15"/>
        <v>30000</v>
      </c>
      <c r="I163" s="362">
        <v>30000</v>
      </c>
      <c r="J163" s="320">
        <f t="shared" si="0"/>
        <v>0</v>
      </c>
      <c r="K163" s="322">
        <v>0</v>
      </c>
      <c r="M163" s="174">
        <f t="shared" si="1"/>
        <v>0</v>
      </c>
      <c r="O163" s="144"/>
      <c r="FH163" s="304"/>
      <c r="FI163" s="304"/>
      <c r="FJ163" s="304"/>
      <c r="FK163" s="304"/>
      <c r="FL163" s="304"/>
      <c r="FM163" s="304"/>
      <c r="FN163" s="304"/>
      <c r="FO163" s="304"/>
      <c r="FP163" s="304"/>
      <c r="FQ163" s="304"/>
      <c r="FR163" s="304"/>
      <c r="FS163" s="304"/>
      <c r="FT163" s="304"/>
      <c r="FU163" s="304"/>
      <c r="FV163" s="304"/>
      <c r="FW163" s="304"/>
      <c r="FX163" s="304"/>
      <c r="FY163" s="304"/>
      <c r="FZ163" s="304"/>
      <c r="GA163" s="304"/>
      <c r="GB163" s="304"/>
      <c r="GC163" s="304"/>
      <c r="GD163" s="304"/>
      <c r="GE163" s="304"/>
      <c r="GF163" s="304"/>
      <c r="GG163" s="304"/>
      <c r="GH163" s="304"/>
      <c r="GI163" s="304"/>
      <c r="GJ163" s="304"/>
      <c r="GK163" s="304"/>
      <c r="GL163" s="304"/>
      <c r="GM163" s="304"/>
      <c r="GN163" s="304"/>
      <c r="GO163" s="304"/>
      <c r="GP163" s="304"/>
      <c r="GQ163" s="304"/>
      <c r="GR163" s="304"/>
      <c r="GS163" s="304"/>
      <c r="GT163" s="304"/>
      <c r="GU163" s="304"/>
      <c r="GV163" s="304"/>
      <c r="GW163" s="304"/>
      <c r="GX163" s="304"/>
      <c r="GY163" s="304"/>
      <c r="GZ163" s="304"/>
      <c r="HA163" s="304"/>
      <c r="HB163" s="304"/>
      <c r="HC163" s="304"/>
      <c r="HD163" s="304"/>
      <c r="HE163" s="304"/>
      <c r="HF163" s="304"/>
      <c r="HG163" s="304"/>
      <c r="HH163" s="304"/>
      <c r="HI163" s="304"/>
      <c r="HJ163" s="304"/>
      <c r="HK163" s="304"/>
      <c r="HL163" s="304"/>
      <c r="HM163" s="304"/>
      <c r="HN163" s="304"/>
      <c r="HO163" s="304"/>
      <c r="HP163" s="304"/>
      <c r="HQ163" s="304"/>
      <c r="HR163" s="304"/>
      <c r="HS163" s="304"/>
      <c r="HT163" s="304"/>
      <c r="HU163" s="304"/>
      <c r="HV163" s="304"/>
      <c r="HW163" s="304"/>
      <c r="HX163" s="304"/>
      <c r="HY163" s="304"/>
      <c r="HZ163" s="304"/>
      <c r="IA163" s="304"/>
      <c r="IB163" s="304"/>
      <c r="IC163" s="304"/>
      <c r="ID163" s="304"/>
      <c r="IE163" s="304"/>
      <c r="IF163" s="304"/>
      <c r="IG163" s="304"/>
      <c r="IH163" s="304"/>
      <c r="II163" s="304"/>
      <c r="IJ163" s="304"/>
      <c r="IK163" s="304"/>
      <c r="IL163" s="304"/>
      <c r="IM163" s="304"/>
      <c r="IN163" s="304"/>
      <c r="IO163" s="304"/>
      <c r="IP163" s="304"/>
      <c r="IQ163" s="304"/>
      <c r="IR163" s="304"/>
      <c r="IS163" s="304"/>
      <c r="IT163" s="304"/>
      <c r="IU163" s="304"/>
      <c r="IV163" s="304"/>
    </row>
    <row r="164" spans="1:15" ht="23.25">
      <c r="A164" s="323">
        <v>4</v>
      </c>
      <c r="B164" s="324" t="s">
        <v>809</v>
      </c>
      <c r="C164" s="363">
        <v>0.02</v>
      </c>
      <c r="D164" s="326">
        <v>145595</v>
      </c>
      <c r="E164" s="329">
        <f>$E$53*C164</f>
        <v>145595</v>
      </c>
      <c r="F164" s="327">
        <f>SUM(E165:E166)</f>
        <v>145595</v>
      </c>
      <c r="G164" s="364">
        <f t="shared" si="10"/>
        <v>1</v>
      </c>
      <c r="H164" s="329">
        <f t="shared" si="15"/>
        <v>145595</v>
      </c>
      <c r="I164" s="329">
        <f>SUM(I165:I166)</f>
        <v>145595</v>
      </c>
      <c r="J164" s="328">
        <f t="shared" si="0"/>
        <v>0</v>
      </c>
      <c r="K164" s="330">
        <f>SUM(K165:K166)</f>
        <v>0</v>
      </c>
      <c r="M164" s="174">
        <f t="shared" si="1"/>
        <v>0</v>
      </c>
      <c r="O164" s="144"/>
    </row>
    <row r="165" spans="1:15" ht="23.25">
      <c r="A165" s="243" t="s">
        <v>269</v>
      </c>
      <c r="B165" s="244" t="s">
        <v>665</v>
      </c>
      <c r="C165" s="245">
        <v>0.15</v>
      </c>
      <c r="D165" s="246">
        <v>21839</v>
      </c>
      <c r="E165" s="249">
        <v>21839</v>
      </c>
      <c r="F165" s="307"/>
      <c r="G165" s="316">
        <f t="shared" si="10"/>
        <v>1</v>
      </c>
      <c r="H165" s="249">
        <f t="shared" si="15"/>
        <v>21839</v>
      </c>
      <c r="I165" s="249">
        <v>21839</v>
      </c>
      <c r="J165" s="248">
        <f t="shared" si="0"/>
        <v>0</v>
      </c>
      <c r="K165" s="250">
        <v>0</v>
      </c>
      <c r="M165" s="174">
        <f t="shared" si="1"/>
        <v>0</v>
      </c>
      <c r="O165" s="144"/>
    </row>
    <row r="166" spans="1:15" ht="23.25">
      <c r="A166" s="259" t="s">
        <v>271</v>
      </c>
      <c r="B166" s="260" t="s">
        <v>810</v>
      </c>
      <c r="C166" s="261">
        <v>0.85</v>
      </c>
      <c r="D166" s="262">
        <v>123756</v>
      </c>
      <c r="E166" s="265">
        <v>123756</v>
      </c>
      <c r="F166" s="263"/>
      <c r="G166" s="264">
        <f t="shared" si="10"/>
        <v>1</v>
      </c>
      <c r="H166" s="265">
        <f t="shared" si="15"/>
        <v>123756</v>
      </c>
      <c r="I166" s="265">
        <v>123756</v>
      </c>
      <c r="J166" s="264">
        <f t="shared" si="0"/>
        <v>0</v>
      </c>
      <c r="K166" s="266">
        <v>0</v>
      </c>
      <c r="M166" s="174">
        <f t="shared" si="1"/>
        <v>0</v>
      </c>
      <c r="O166" s="144"/>
    </row>
    <row r="167" spans="1:15" ht="23.25">
      <c r="A167" s="365" t="s">
        <v>273</v>
      </c>
      <c r="B167" s="366" t="s">
        <v>274</v>
      </c>
      <c r="C167" s="365" t="s">
        <v>275</v>
      </c>
      <c r="D167" s="367">
        <v>4171100</v>
      </c>
      <c r="E167" s="368">
        <f>$K$8*10.6%</f>
        <v>4171100</v>
      </c>
      <c r="F167" s="369">
        <f>F168+F241+F262+F287+E254+E256</f>
        <v>6048142</v>
      </c>
      <c r="G167" s="370">
        <f t="shared" si="10"/>
        <v>0.9928076526575723</v>
      </c>
      <c r="H167" s="368">
        <f>+H168+H241+H254+H262+H256+H287</f>
        <v>4141100</v>
      </c>
      <c r="I167" s="368">
        <f>+I168+I241+I254+I262+I256+I287</f>
        <v>3700762.8</v>
      </c>
      <c r="J167" s="370">
        <f t="shared" si="0"/>
        <v>0.1055686030064012</v>
      </c>
      <c r="K167" s="371">
        <f>+K168+K241+K254+K262+K256+K287</f>
        <v>440337.2</v>
      </c>
      <c r="M167" s="174">
        <f t="shared" si="1"/>
        <v>440337.2000000002</v>
      </c>
      <c r="O167" s="144"/>
    </row>
    <row r="168" spans="1:15" ht="23.25">
      <c r="A168" s="275">
        <v>1</v>
      </c>
      <c r="B168" s="276" t="s">
        <v>811</v>
      </c>
      <c r="C168" s="277">
        <v>0.48</v>
      </c>
      <c r="D168" s="278">
        <v>2002128</v>
      </c>
      <c r="E168" s="233">
        <f>$E$167*C168</f>
        <v>2002128</v>
      </c>
      <c r="F168" s="279">
        <f>SUM(E169:E185)</f>
        <v>2903084</v>
      </c>
      <c r="G168" s="267">
        <f t="shared" si="10"/>
        <v>0.9850164425051745</v>
      </c>
      <c r="H168" s="233">
        <f>+H169+H172+H179+H182+H185</f>
        <v>1972129</v>
      </c>
      <c r="I168" s="233">
        <f>+I169+I172+I179+I182+I185</f>
        <v>1619556</v>
      </c>
      <c r="J168" s="267">
        <f t="shared" si="0"/>
        <v>0.17609913052512127</v>
      </c>
      <c r="K168" s="234">
        <f>SUM(K169,K172,K179,K182,K185)</f>
        <v>352573</v>
      </c>
      <c r="L168" s="174">
        <f>+H168+H241+H262+H287</f>
        <v>3849123</v>
      </c>
      <c r="M168" s="174">
        <f t="shared" si="1"/>
        <v>352573</v>
      </c>
      <c r="O168" s="144"/>
    </row>
    <row r="169" spans="1:15" ht="23.25">
      <c r="A169" s="243" t="s">
        <v>10</v>
      </c>
      <c r="B169" s="244" t="s">
        <v>277</v>
      </c>
      <c r="C169" s="245">
        <v>0.04</v>
      </c>
      <c r="D169" s="246">
        <v>80085</v>
      </c>
      <c r="E169" s="249">
        <v>80085</v>
      </c>
      <c r="F169" s="247"/>
      <c r="G169" s="248">
        <f t="shared" si="10"/>
        <v>1</v>
      </c>
      <c r="H169" s="249">
        <f>+I169+K169</f>
        <v>80085</v>
      </c>
      <c r="I169" s="249">
        <f>+I170+I171</f>
        <v>80085</v>
      </c>
      <c r="J169" s="248">
        <f t="shared" si="0"/>
        <v>0</v>
      </c>
      <c r="K169" s="250">
        <f>+K170+K171</f>
        <v>0</v>
      </c>
      <c r="M169" s="174">
        <f t="shared" si="1"/>
        <v>0</v>
      </c>
      <c r="O169" s="144"/>
    </row>
    <row r="170" spans="1:256" ht="23.25">
      <c r="A170" s="293" t="s">
        <v>12</v>
      </c>
      <c r="B170" s="372" t="s">
        <v>427</v>
      </c>
      <c r="C170" s="373">
        <f>+E170/E169</f>
        <v>0.2507960292189549</v>
      </c>
      <c r="D170" s="296"/>
      <c r="E170" s="337">
        <v>20085</v>
      </c>
      <c r="F170" s="297"/>
      <c r="G170" s="374">
        <f t="shared" si="10"/>
        <v>1</v>
      </c>
      <c r="H170" s="337">
        <f aca="true" t="shared" si="21" ref="H170:H171">I170+K170</f>
        <v>20085</v>
      </c>
      <c r="I170" s="337">
        <v>20085</v>
      </c>
      <c r="J170" s="374">
        <f t="shared" si="0"/>
        <v>0</v>
      </c>
      <c r="K170" s="375">
        <v>0</v>
      </c>
      <c r="M170" s="174">
        <f t="shared" si="1"/>
        <v>0</v>
      </c>
      <c r="O170" s="144"/>
      <c r="FH170" s="304"/>
      <c r="FI170" s="304"/>
      <c r="FJ170" s="304"/>
      <c r="FK170" s="304"/>
      <c r="FL170" s="304"/>
      <c r="FM170" s="304"/>
      <c r="FN170" s="304"/>
      <c r="FO170" s="304"/>
      <c r="FP170" s="304"/>
      <c r="FQ170" s="304"/>
      <c r="FR170" s="304"/>
      <c r="FS170" s="304"/>
      <c r="FT170" s="304"/>
      <c r="FU170" s="304"/>
      <c r="FV170" s="304"/>
      <c r="FW170" s="304"/>
      <c r="FX170" s="304"/>
      <c r="FY170" s="304"/>
      <c r="FZ170" s="304"/>
      <c r="GA170" s="304"/>
      <c r="GB170" s="304"/>
      <c r="GC170" s="304"/>
      <c r="GD170" s="304"/>
      <c r="GE170" s="304"/>
      <c r="GF170" s="304"/>
      <c r="GG170" s="304"/>
      <c r="GH170" s="304"/>
      <c r="GI170" s="304"/>
      <c r="GJ170" s="304"/>
      <c r="GK170" s="304"/>
      <c r="GL170" s="304"/>
      <c r="GM170" s="304"/>
      <c r="GN170" s="304"/>
      <c r="GO170" s="304"/>
      <c r="GP170" s="304"/>
      <c r="GQ170" s="304"/>
      <c r="GR170" s="304"/>
      <c r="GS170" s="304"/>
      <c r="GT170" s="304"/>
      <c r="GU170" s="304"/>
      <c r="GV170" s="304"/>
      <c r="GW170" s="304"/>
      <c r="GX170" s="304"/>
      <c r="GY170" s="304"/>
      <c r="GZ170" s="304"/>
      <c r="HA170" s="304"/>
      <c r="HB170" s="304"/>
      <c r="HC170" s="304"/>
      <c r="HD170" s="304"/>
      <c r="HE170" s="304"/>
      <c r="HF170" s="304"/>
      <c r="HG170" s="304"/>
      <c r="HH170" s="304"/>
      <c r="HI170" s="304"/>
      <c r="HJ170" s="304"/>
      <c r="HK170" s="304"/>
      <c r="HL170" s="304"/>
      <c r="HM170" s="304"/>
      <c r="HN170" s="304"/>
      <c r="HO170" s="304"/>
      <c r="HP170" s="304"/>
      <c r="HQ170" s="304"/>
      <c r="HR170" s="304"/>
      <c r="HS170" s="304"/>
      <c r="HT170" s="304"/>
      <c r="HU170" s="304"/>
      <c r="HV170" s="304"/>
      <c r="HW170" s="304"/>
      <c r="HX170" s="304"/>
      <c r="HY170" s="304"/>
      <c r="HZ170" s="304"/>
      <c r="IA170" s="304"/>
      <c r="IB170" s="304"/>
      <c r="IC170" s="304"/>
      <c r="ID170" s="304"/>
      <c r="IE170" s="304"/>
      <c r="IF170" s="304"/>
      <c r="IG170" s="304"/>
      <c r="IH170" s="304"/>
      <c r="II170" s="304"/>
      <c r="IJ170" s="304"/>
      <c r="IK170" s="304"/>
      <c r="IL170" s="304"/>
      <c r="IM170" s="304"/>
      <c r="IN170" s="304"/>
      <c r="IO170" s="304"/>
      <c r="IP170" s="304"/>
      <c r="IQ170" s="304"/>
      <c r="IR170" s="304"/>
      <c r="IS170" s="304"/>
      <c r="IT170" s="304"/>
      <c r="IU170" s="304"/>
      <c r="IV170" s="304"/>
    </row>
    <row r="171" spans="1:256" ht="23.25">
      <c r="A171" s="293" t="s">
        <v>14</v>
      </c>
      <c r="B171" s="372" t="s">
        <v>812</v>
      </c>
      <c r="C171" s="373">
        <f>+E171/E169</f>
        <v>0.7492039707810452</v>
      </c>
      <c r="D171" s="296"/>
      <c r="E171" s="337">
        <v>60000</v>
      </c>
      <c r="F171" s="297"/>
      <c r="G171" s="374">
        <f t="shared" si="10"/>
        <v>1</v>
      </c>
      <c r="H171" s="337">
        <f t="shared" si="21"/>
        <v>60000</v>
      </c>
      <c r="I171" s="337">
        <v>60000</v>
      </c>
      <c r="J171" s="374">
        <f t="shared" si="0"/>
        <v>0</v>
      </c>
      <c r="K171" s="375">
        <v>0</v>
      </c>
      <c r="M171" s="174">
        <f t="shared" si="1"/>
        <v>0</v>
      </c>
      <c r="O171" s="144"/>
      <c r="FH171" s="304"/>
      <c r="FI171" s="304"/>
      <c r="FJ171" s="304"/>
      <c r="FK171" s="304"/>
      <c r="FL171" s="304"/>
      <c r="FM171" s="304"/>
      <c r="FN171" s="304"/>
      <c r="FO171" s="304"/>
      <c r="FP171" s="304"/>
      <c r="FQ171" s="304"/>
      <c r="FR171" s="304"/>
      <c r="FS171" s="304"/>
      <c r="FT171" s="304"/>
      <c r="FU171" s="304"/>
      <c r="FV171" s="304"/>
      <c r="FW171" s="304"/>
      <c r="FX171" s="304"/>
      <c r="FY171" s="304"/>
      <c r="FZ171" s="304"/>
      <c r="GA171" s="304"/>
      <c r="GB171" s="304"/>
      <c r="GC171" s="304"/>
      <c r="GD171" s="304"/>
      <c r="GE171" s="304"/>
      <c r="GF171" s="304"/>
      <c r="GG171" s="304"/>
      <c r="GH171" s="304"/>
      <c r="GI171" s="304"/>
      <c r="GJ171" s="304"/>
      <c r="GK171" s="304"/>
      <c r="GL171" s="304"/>
      <c r="GM171" s="304"/>
      <c r="GN171" s="304"/>
      <c r="GO171" s="304"/>
      <c r="GP171" s="304"/>
      <c r="GQ171" s="304"/>
      <c r="GR171" s="304"/>
      <c r="GS171" s="304"/>
      <c r="GT171" s="304"/>
      <c r="GU171" s="304"/>
      <c r="GV171" s="304"/>
      <c r="GW171" s="304"/>
      <c r="GX171" s="304"/>
      <c r="GY171" s="304"/>
      <c r="GZ171" s="304"/>
      <c r="HA171" s="304"/>
      <c r="HB171" s="304"/>
      <c r="HC171" s="304"/>
      <c r="HD171" s="304"/>
      <c r="HE171" s="304"/>
      <c r="HF171" s="304"/>
      <c r="HG171" s="304"/>
      <c r="HH171" s="304"/>
      <c r="HI171" s="304"/>
      <c r="HJ171" s="304"/>
      <c r="HK171" s="304"/>
      <c r="HL171" s="304"/>
      <c r="HM171" s="304"/>
      <c r="HN171" s="304"/>
      <c r="HO171" s="304"/>
      <c r="HP171" s="304"/>
      <c r="HQ171" s="304"/>
      <c r="HR171" s="304"/>
      <c r="HS171" s="304"/>
      <c r="HT171" s="304"/>
      <c r="HU171" s="304"/>
      <c r="HV171" s="304"/>
      <c r="HW171" s="304"/>
      <c r="HX171" s="304"/>
      <c r="HY171" s="304"/>
      <c r="HZ171" s="304"/>
      <c r="IA171" s="304"/>
      <c r="IB171" s="304"/>
      <c r="IC171" s="304"/>
      <c r="ID171" s="304"/>
      <c r="IE171" s="304"/>
      <c r="IF171" s="304"/>
      <c r="IG171" s="304"/>
      <c r="IH171" s="304"/>
      <c r="II171" s="304"/>
      <c r="IJ171" s="304"/>
      <c r="IK171" s="304"/>
      <c r="IL171" s="304"/>
      <c r="IM171" s="304"/>
      <c r="IN171" s="304"/>
      <c r="IO171" s="304"/>
      <c r="IP171" s="304"/>
      <c r="IQ171" s="304"/>
      <c r="IR171" s="304"/>
      <c r="IS171" s="304"/>
      <c r="IT171" s="304"/>
      <c r="IU171" s="304"/>
      <c r="IV171" s="304"/>
    </row>
    <row r="172" spans="1:15" ht="23.25">
      <c r="A172" s="243" t="s">
        <v>20</v>
      </c>
      <c r="B172" s="244" t="s">
        <v>813</v>
      </c>
      <c r="C172" s="245">
        <v>0.3</v>
      </c>
      <c r="D172" s="246">
        <v>600638</v>
      </c>
      <c r="E172" s="249">
        <v>600638</v>
      </c>
      <c r="F172" s="247"/>
      <c r="G172" s="256">
        <f t="shared" si="10"/>
        <v>1</v>
      </c>
      <c r="H172" s="249">
        <f>+H173+H174+H175+H176+H177+H178</f>
        <v>600638</v>
      </c>
      <c r="I172" s="249">
        <f>+I173+I174+I175+I176+I177+I178</f>
        <v>600638</v>
      </c>
      <c r="J172" s="248">
        <f t="shared" si="0"/>
        <v>0</v>
      </c>
      <c r="K172" s="250">
        <f>SUM(K173:K178)</f>
        <v>0</v>
      </c>
      <c r="M172" s="174">
        <f t="shared" si="1"/>
        <v>0</v>
      </c>
      <c r="O172" s="144"/>
    </row>
    <row r="173" spans="1:256" ht="23.25">
      <c r="A173" s="293" t="s">
        <v>22</v>
      </c>
      <c r="B173" s="372" t="s">
        <v>280</v>
      </c>
      <c r="C173" s="373">
        <f aca="true" t="shared" si="22" ref="C173:C178">+E173/$E$172</f>
        <v>0.30021244077131315</v>
      </c>
      <c r="D173" s="296"/>
      <c r="E173" s="337">
        <v>180319</v>
      </c>
      <c r="F173" s="297"/>
      <c r="G173" s="298">
        <f aca="true" t="shared" si="23" ref="G173:G178">+H173/E173</f>
        <v>1</v>
      </c>
      <c r="H173" s="337">
        <f aca="true" t="shared" si="24" ref="H173:H178">+K173+I173</f>
        <v>180319</v>
      </c>
      <c r="I173" s="337">
        <v>180319</v>
      </c>
      <c r="J173" s="374">
        <f t="shared" si="0"/>
        <v>0</v>
      </c>
      <c r="K173" s="375">
        <v>0</v>
      </c>
      <c r="M173" s="174">
        <f t="shared" si="1"/>
        <v>0</v>
      </c>
      <c r="O173" s="144"/>
      <c r="FH173" s="359"/>
      <c r="FI173" s="359"/>
      <c r="FJ173" s="359"/>
      <c r="FK173" s="359"/>
      <c r="FL173" s="359"/>
      <c r="FM173" s="359"/>
      <c r="FN173" s="359"/>
      <c r="FO173" s="359"/>
      <c r="FP173" s="359"/>
      <c r="FQ173" s="359"/>
      <c r="FR173" s="359"/>
      <c r="FS173" s="359"/>
      <c r="FT173" s="359"/>
      <c r="FU173" s="359"/>
      <c r="FV173" s="359"/>
      <c r="FW173" s="359"/>
      <c r="FX173" s="359"/>
      <c r="FY173" s="359"/>
      <c r="FZ173" s="359"/>
      <c r="GA173" s="359"/>
      <c r="GB173" s="359"/>
      <c r="GC173" s="359"/>
      <c r="GD173" s="359"/>
      <c r="GE173" s="359"/>
      <c r="GF173" s="359"/>
      <c r="GG173" s="359"/>
      <c r="GH173" s="359"/>
      <c r="GI173" s="359"/>
      <c r="GJ173" s="359"/>
      <c r="GK173" s="359"/>
      <c r="GL173" s="359"/>
      <c r="GM173" s="359"/>
      <c r="GN173" s="359"/>
      <c r="GO173" s="359"/>
      <c r="GP173" s="359"/>
      <c r="GQ173" s="359"/>
      <c r="GR173" s="359"/>
      <c r="GS173" s="359"/>
      <c r="GT173" s="359"/>
      <c r="GU173" s="359"/>
      <c r="GV173" s="359"/>
      <c r="GW173" s="359"/>
      <c r="GX173" s="359"/>
      <c r="GY173" s="359"/>
      <c r="GZ173" s="359"/>
      <c r="HA173" s="359"/>
      <c r="HB173" s="359"/>
      <c r="HC173" s="359"/>
      <c r="HD173" s="359"/>
      <c r="HE173" s="359"/>
      <c r="HF173" s="359"/>
      <c r="HG173" s="359"/>
      <c r="HH173" s="359"/>
      <c r="HI173" s="359"/>
      <c r="HJ173" s="359"/>
      <c r="HK173" s="359"/>
      <c r="HL173" s="359"/>
      <c r="HM173" s="359"/>
      <c r="HN173" s="359"/>
      <c r="HO173" s="359"/>
      <c r="HP173" s="359"/>
      <c r="HQ173" s="359"/>
      <c r="HR173" s="359"/>
      <c r="HS173" s="359"/>
      <c r="HT173" s="359"/>
      <c r="HU173" s="359"/>
      <c r="HV173" s="359"/>
      <c r="HW173" s="359"/>
      <c r="HX173" s="359"/>
      <c r="HY173" s="359"/>
      <c r="HZ173" s="359"/>
      <c r="IA173" s="359"/>
      <c r="IB173" s="359"/>
      <c r="IC173" s="359"/>
      <c r="ID173" s="359"/>
      <c r="IE173" s="359"/>
      <c r="IF173" s="359"/>
      <c r="IG173" s="359"/>
      <c r="IH173" s="359"/>
      <c r="II173" s="359"/>
      <c r="IJ173" s="359"/>
      <c r="IK173" s="359"/>
      <c r="IL173" s="359"/>
      <c r="IM173" s="359"/>
      <c r="IN173" s="359"/>
      <c r="IO173" s="359"/>
      <c r="IP173" s="359"/>
      <c r="IQ173" s="359"/>
      <c r="IR173" s="359"/>
      <c r="IS173" s="359"/>
      <c r="IT173" s="359"/>
      <c r="IU173" s="359"/>
      <c r="IV173" s="359"/>
    </row>
    <row r="174" spans="1:256" ht="23.25">
      <c r="A174" s="293" t="s">
        <v>24</v>
      </c>
      <c r="B174" s="372" t="s">
        <v>281</v>
      </c>
      <c r="C174" s="373">
        <f t="shared" si="22"/>
        <v>0.1415161877869865</v>
      </c>
      <c r="D174" s="296"/>
      <c r="E174" s="337">
        <v>85000</v>
      </c>
      <c r="F174" s="297"/>
      <c r="G174" s="298">
        <f t="shared" si="23"/>
        <v>1</v>
      </c>
      <c r="H174" s="337">
        <f t="shared" si="24"/>
        <v>85000</v>
      </c>
      <c r="I174" s="337">
        <v>85000</v>
      </c>
      <c r="J174" s="374">
        <f t="shared" si="0"/>
        <v>0</v>
      </c>
      <c r="K174" s="375">
        <v>0</v>
      </c>
      <c r="M174" s="174">
        <f t="shared" si="1"/>
        <v>0</v>
      </c>
      <c r="O174" s="144"/>
      <c r="FH174" s="359"/>
      <c r="FI174" s="359"/>
      <c r="FJ174" s="359"/>
      <c r="FK174" s="359"/>
      <c r="FL174" s="359"/>
      <c r="FM174" s="359"/>
      <c r="FN174" s="359"/>
      <c r="FO174" s="359"/>
      <c r="FP174" s="359"/>
      <c r="FQ174" s="359"/>
      <c r="FR174" s="359"/>
      <c r="FS174" s="359"/>
      <c r="FT174" s="359"/>
      <c r="FU174" s="359"/>
      <c r="FV174" s="359"/>
      <c r="FW174" s="359"/>
      <c r="FX174" s="359"/>
      <c r="FY174" s="359"/>
      <c r="FZ174" s="359"/>
      <c r="GA174" s="359"/>
      <c r="GB174" s="359"/>
      <c r="GC174" s="359"/>
      <c r="GD174" s="359"/>
      <c r="GE174" s="359"/>
      <c r="GF174" s="359"/>
      <c r="GG174" s="359"/>
      <c r="GH174" s="359"/>
      <c r="GI174" s="359"/>
      <c r="GJ174" s="359"/>
      <c r="GK174" s="359"/>
      <c r="GL174" s="359"/>
      <c r="GM174" s="359"/>
      <c r="GN174" s="359"/>
      <c r="GO174" s="359"/>
      <c r="GP174" s="359"/>
      <c r="GQ174" s="359"/>
      <c r="GR174" s="359"/>
      <c r="GS174" s="359"/>
      <c r="GT174" s="359"/>
      <c r="GU174" s="359"/>
      <c r="GV174" s="359"/>
      <c r="GW174" s="359"/>
      <c r="GX174" s="359"/>
      <c r="GY174" s="359"/>
      <c r="GZ174" s="359"/>
      <c r="HA174" s="359"/>
      <c r="HB174" s="359"/>
      <c r="HC174" s="359"/>
      <c r="HD174" s="359"/>
      <c r="HE174" s="359"/>
      <c r="HF174" s="359"/>
      <c r="HG174" s="359"/>
      <c r="HH174" s="359"/>
      <c r="HI174" s="359"/>
      <c r="HJ174" s="359"/>
      <c r="HK174" s="359"/>
      <c r="HL174" s="359"/>
      <c r="HM174" s="359"/>
      <c r="HN174" s="359"/>
      <c r="HO174" s="359"/>
      <c r="HP174" s="359"/>
      <c r="HQ174" s="359"/>
      <c r="HR174" s="359"/>
      <c r="HS174" s="359"/>
      <c r="HT174" s="359"/>
      <c r="HU174" s="359"/>
      <c r="HV174" s="359"/>
      <c r="HW174" s="359"/>
      <c r="HX174" s="359"/>
      <c r="HY174" s="359"/>
      <c r="HZ174" s="359"/>
      <c r="IA174" s="359"/>
      <c r="IB174" s="359"/>
      <c r="IC174" s="359"/>
      <c r="ID174" s="359"/>
      <c r="IE174" s="359"/>
      <c r="IF174" s="359"/>
      <c r="IG174" s="359"/>
      <c r="IH174" s="359"/>
      <c r="II174" s="359"/>
      <c r="IJ174" s="359"/>
      <c r="IK174" s="359"/>
      <c r="IL174" s="359"/>
      <c r="IM174" s="359"/>
      <c r="IN174" s="359"/>
      <c r="IO174" s="359"/>
      <c r="IP174" s="359"/>
      <c r="IQ174" s="359"/>
      <c r="IR174" s="359"/>
      <c r="IS174" s="359"/>
      <c r="IT174" s="359"/>
      <c r="IU174" s="359"/>
      <c r="IV174" s="359"/>
    </row>
    <row r="175" spans="1:256" ht="23.25">
      <c r="A175" s="293" t="s">
        <v>26</v>
      </c>
      <c r="B175" s="372" t="s">
        <v>282</v>
      </c>
      <c r="C175" s="373">
        <f t="shared" si="22"/>
        <v>0.30021244077131315</v>
      </c>
      <c r="D175" s="296"/>
      <c r="E175" s="337">
        <v>180319</v>
      </c>
      <c r="F175" s="297"/>
      <c r="G175" s="298">
        <f t="shared" si="23"/>
        <v>1</v>
      </c>
      <c r="H175" s="337">
        <f t="shared" si="24"/>
        <v>180319</v>
      </c>
      <c r="I175" s="337">
        <v>180319</v>
      </c>
      <c r="J175" s="374">
        <f t="shared" si="0"/>
        <v>0</v>
      </c>
      <c r="K175" s="375">
        <v>0</v>
      </c>
      <c r="M175" s="174">
        <f t="shared" si="1"/>
        <v>0</v>
      </c>
      <c r="O175" s="144"/>
      <c r="FH175" s="359"/>
      <c r="FI175" s="359"/>
      <c r="FJ175" s="359"/>
      <c r="FK175" s="359"/>
      <c r="FL175" s="359"/>
      <c r="FM175" s="359"/>
      <c r="FN175" s="359"/>
      <c r="FO175" s="359"/>
      <c r="FP175" s="359"/>
      <c r="FQ175" s="359"/>
      <c r="FR175" s="359"/>
      <c r="FS175" s="359"/>
      <c r="FT175" s="359"/>
      <c r="FU175" s="359"/>
      <c r="FV175" s="359"/>
      <c r="FW175" s="359"/>
      <c r="FX175" s="359"/>
      <c r="FY175" s="359"/>
      <c r="FZ175" s="359"/>
      <c r="GA175" s="359"/>
      <c r="GB175" s="359"/>
      <c r="GC175" s="359"/>
      <c r="GD175" s="359"/>
      <c r="GE175" s="359"/>
      <c r="GF175" s="359"/>
      <c r="GG175" s="359"/>
      <c r="GH175" s="359"/>
      <c r="GI175" s="359"/>
      <c r="GJ175" s="359"/>
      <c r="GK175" s="359"/>
      <c r="GL175" s="359"/>
      <c r="GM175" s="359"/>
      <c r="GN175" s="359"/>
      <c r="GO175" s="359"/>
      <c r="GP175" s="359"/>
      <c r="GQ175" s="359"/>
      <c r="GR175" s="359"/>
      <c r="GS175" s="359"/>
      <c r="GT175" s="359"/>
      <c r="GU175" s="359"/>
      <c r="GV175" s="359"/>
      <c r="GW175" s="359"/>
      <c r="GX175" s="359"/>
      <c r="GY175" s="359"/>
      <c r="GZ175" s="359"/>
      <c r="HA175" s="359"/>
      <c r="HB175" s="359"/>
      <c r="HC175" s="359"/>
      <c r="HD175" s="359"/>
      <c r="HE175" s="359"/>
      <c r="HF175" s="359"/>
      <c r="HG175" s="359"/>
      <c r="HH175" s="359"/>
      <c r="HI175" s="359"/>
      <c r="HJ175" s="359"/>
      <c r="HK175" s="359"/>
      <c r="HL175" s="359"/>
      <c r="HM175" s="359"/>
      <c r="HN175" s="359"/>
      <c r="HO175" s="359"/>
      <c r="HP175" s="359"/>
      <c r="HQ175" s="359"/>
      <c r="HR175" s="359"/>
      <c r="HS175" s="359"/>
      <c r="HT175" s="359"/>
      <c r="HU175" s="359"/>
      <c r="HV175" s="359"/>
      <c r="HW175" s="359"/>
      <c r="HX175" s="359"/>
      <c r="HY175" s="359"/>
      <c r="HZ175" s="359"/>
      <c r="IA175" s="359"/>
      <c r="IB175" s="359"/>
      <c r="IC175" s="359"/>
      <c r="ID175" s="359"/>
      <c r="IE175" s="359"/>
      <c r="IF175" s="359"/>
      <c r="IG175" s="359"/>
      <c r="IH175" s="359"/>
      <c r="II175" s="359"/>
      <c r="IJ175" s="359"/>
      <c r="IK175" s="359"/>
      <c r="IL175" s="359"/>
      <c r="IM175" s="359"/>
      <c r="IN175" s="359"/>
      <c r="IO175" s="359"/>
      <c r="IP175" s="359"/>
      <c r="IQ175" s="359"/>
      <c r="IR175" s="359"/>
      <c r="IS175" s="359"/>
      <c r="IT175" s="359"/>
      <c r="IU175" s="359"/>
      <c r="IV175" s="359"/>
    </row>
    <row r="176" spans="1:256" ht="23.25">
      <c r="A176" s="293" t="s">
        <v>28</v>
      </c>
      <c r="B176" s="372" t="s">
        <v>283</v>
      </c>
      <c r="C176" s="373">
        <f t="shared" si="22"/>
        <v>0.1415161877869865</v>
      </c>
      <c r="D176" s="296"/>
      <c r="E176" s="337">
        <v>85000</v>
      </c>
      <c r="F176" s="297"/>
      <c r="G176" s="298">
        <f t="shared" si="23"/>
        <v>1</v>
      </c>
      <c r="H176" s="337">
        <f t="shared" si="24"/>
        <v>85000</v>
      </c>
      <c r="I176" s="337">
        <v>85000</v>
      </c>
      <c r="J176" s="374">
        <f t="shared" si="0"/>
        <v>0</v>
      </c>
      <c r="K176" s="375">
        <v>0</v>
      </c>
      <c r="M176" s="174">
        <f t="shared" si="1"/>
        <v>0</v>
      </c>
      <c r="O176" s="144"/>
      <c r="FH176" s="359"/>
      <c r="FI176" s="359"/>
      <c r="FJ176" s="359"/>
      <c r="FK176" s="359"/>
      <c r="FL176" s="359"/>
      <c r="FM176" s="359"/>
      <c r="FN176" s="359"/>
      <c r="FO176" s="359"/>
      <c r="FP176" s="359"/>
      <c r="FQ176" s="359"/>
      <c r="FR176" s="359"/>
      <c r="FS176" s="359"/>
      <c r="FT176" s="359"/>
      <c r="FU176" s="359"/>
      <c r="FV176" s="359"/>
      <c r="FW176" s="359"/>
      <c r="FX176" s="359"/>
      <c r="FY176" s="359"/>
      <c r="FZ176" s="359"/>
      <c r="GA176" s="359"/>
      <c r="GB176" s="359"/>
      <c r="GC176" s="359"/>
      <c r="GD176" s="359"/>
      <c r="GE176" s="359"/>
      <c r="GF176" s="359"/>
      <c r="GG176" s="359"/>
      <c r="GH176" s="359"/>
      <c r="GI176" s="359"/>
      <c r="GJ176" s="359"/>
      <c r="GK176" s="359"/>
      <c r="GL176" s="359"/>
      <c r="GM176" s="359"/>
      <c r="GN176" s="359"/>
      <c r="GO176" s="359"/>
      <c r="GP176" s="359"/>
      <c r="GQ176" s="359"/>
      <c r="GR176" s="359"/>
      <c r="GS176" s="359"/>
      <c r="GT176" s="359"/>
      <c r="GU176" s="359"/>
      <c r="GV176" s="359"/>
      <c r="GW176" s="359"/>
      <c r="GX176" s="359"/>
      <c r="GY176" s="359"/>
      <c r="GZ176" s="359"/>
      <c r="HA176" s="359"/>
      <c r="HB176" s="359"/>
      <c r="HC176" s="359"/>
      <c r="HD176" s="359"/>
      <c r="HE176" s="359"/>
      <c r="HF176" s="359"/>
      <c r="HG176" s="359"/>
      <c r="HH176" s="359"/>
      <c r="HI176" s="359"/>
      <c r="HJ176" s="359"/>
      <c r="HK176" s="359"/>
      <c r="HL176" s="359"/>
      <c r="HM176" s="359"/>
      <c r="HN176" s="359"/>
      <c r="HO176" s="359"/>
      <c r="HP176" s="359"/>
      <c r="HQ176" s="359"/>
      <c r="HR176" s="359"/>
      <c r="HS176" s="359"/>
      <c r="HT176" s="359"/>
      <c r="HU176" s="359"/>
      <c r="HV176" s="359"/>
      <c r="HW176" s="359"/>
      <c r="HX176" s="359"/>
      <c r="HY176" s="359"/>
      <c r="HZ176" s="359"/>
      <c r="IA176" s="359"/>
      <c r="IB176" s="359"/>
      <c r="IC176" s="359"/>
      <c r="ID176" s="359"/>
      <c r="IE176" s="359"/>
      <c r="IF176" s="359"/>
      <c r="IG176" s="359"/>
      <c r="IH176" s="359"/>
      <c r="II176" s="359"/>
      <c r="IJ176" s="359"/>
      <c r="IK176" s="359"/>
      <c r="IL176" s="359"/>
      <c r="IM176" s="359"/>
      <c r="IN176" s="359"/>
      <c r="IO176" s="359"/>
      <c r="IP176" s="359"/>
      <c r="IQ176" s="359"/>
      <c r="IR176" s="359"/>
      <c r="IS176" s="359"/>
      <c r="IT176" s="359"/>
      <c r="IU176" s="359"/>
      <c r="IV176" s="359"/>
    </row>
    <row r="177" spans="1:256" ht="23.25">
      <c r="A177" s="293" t="s">
        <v>30</v>
      </c>
      <c r="B177" s="372" t="s">
        <v>284</v>
      </c>
      <c r="C177" s="373">
        <f t="shared" si="22"/>
        <v>0.058271371441700325</v>
      </c>
      <c r="D177" s="296"/>
      <c r="E177" s="337">
        <v>35000</v>
      </c>
      <c r="F177" s="297"/>
      <c r="G177" s="298">
        <f t="shared" si="23"/>
        <v>1</v>
      </c>
      <c r="H177" s="337">
        <f t="shared" si="24"/>
        <v>35000</v>
      </c>
      <c r="I177" s="337">
        <v>35000</v>
      </c>
      <c r="J177" s="374">
        <f t="shared" si="0"/>
        <v>0</v>
      </c>
      <c r="K177" s="375">
        <v>0</v>
      </c>
      <c r="M177" s="174">
        <f t="shared" si="1"/>
        <v>0</v>
      </c>
      <c r="O177" s="144"/>
      <c r="FH177" s="359"/>
      <c r="FI177" s="359"/>
      <c r="FJ177" s="359"/>
      <c r="FK177" s="359"/>
      <c r="FL177" s="359"/>
      <c r="FM177" s="359"/>
      <c r="FN177" s="359"/>
      <c r="FO177" s="359"/>
      <c r="FP177" s="359"/>
      <c r="FQ177" s="359"/>
      <c r="FR177" s="359"/>
      <c r="FS177" s="359"/>
      <c r="FT177" s="359"/>
      <c r="FU177" s="359"/>
      <c r="FV177" s="359"/>
      <c r="FW177" s="359"/>
      <c r="FX177" s="359"/>
      <c r="FY177" s="359"/>
      <c r="FZ177" s="359"/>
      <c r="GA177" s="359"/>
      <c r="GB177" s="359"/>
      <c r="GC177" s="359"/>
      <c r="GD177" s="359"/>
      <c r="GE177" s="359"/>
      <c r="GF177" s="359"/>
      <c r="GG177" s="359"/>
      <c r="GH177" s="359"/>
      <c r="GI177" s="359"/>
      <c r="GJ177" s="359"/>
      <c r="GK177" s="359"/>
      <c r="GL177" s="359"/>
      <c r="GM177" s="359"/>
      <c r="GN177" s="359"/>
      <c r="GO177" s="359"/>
      <c r="GP177" s="359"/>
      <c r="GQ177" s="359"/>
      <c r="GR177" s="359"/>
      <c r="GS177" s="359"/>
      <c r="GT177" s="359"/>
      <c r="GU177" s="359"/>
      <c r="GV177" s="359"/>
      <c r="GW177" s="359"/>
      <c r="GX177" s="359"/>
      <c r="GY177" s="359"/>
      <c r="GZ177" s="359"/>
      <c r="HA177" s="359"/>
      <c r="HB177" s="359"/>
      <c r="HC177" s="359"/>
      <c r="HD177" s="359"/>
      <c r="HE177" s="359"/>
      <c r="HF177" s="359"/>
      <c r="HG177" s="359"/>
      <c r="HH177" s="359"/>
      <c r="HI177" s="359"/>
      <c r="HJ177" s="359"/>
      <c r="HK177" s="359"/>
      <c r="HL177" s="359"/>
      <c r="HM177" s="359"/>
      <c r="HN177" s="359"/>
      <c r="HO177" s="359"/>
      <c r="HP177" s="359"/>
      <c r="HQ177" s="359"/>
      <c r="HR177" s="359"/>
      <c r="HS177" s="359"/>
      <c r="HT177" s="359"/>
      <c r="HU177" s="359"/>
      <c r="HV177" s="359"/>
      <c r="HW177" s="359"/>
      <c r="HX177" s="359"/>
      <c r="HY177" s="359"/>
      <c r="HZ177" s="359"/>
      <c r="IA177" s="359"/>
      <c r="IB177" s="359"/>
      <c r="IC177" s="359"/>
      <c r="ID177" s="359"/>
      <c r="IE177" s="359"/>
      <c r="IF177" s="359"/>
      <c r="IG177" s="359"/>
      <c r="IH177" s="359"/>
      <c r="II177" s="359"/>
      <c r="IJ177" s="359"/>
      <c r="IK177" s="359"/>
      <c r="IL177" s="359"/>
      <c r="IM177" s="359"/>
      <c r="IN177" s="359"/>
      <c r="IO177" s="359"/>
      <c r="IP177" s="359"/>
      <c r="IQ177" s="359"/>
      <c r="IR177" s="359"/>
      <c r="IS177" s="359"/>
      <c r="IT177" s="359"/>
      <c r="IU177" s="359"/>
      <c r="IV177" s="359"/>
    </row>
    <row r="178" spans="1:256" ht="23.25">
      <c r="A178" s="293" t="s">
        <v>32</v>
      </c>
      <c r="B178" s="372" t="s">
        <v>285</v>
      </c>
      <c r="C178" s="373">
        <f t="shared" si="22"/>
        <v>0.058271371441700325</v>
      </c>
      <c r="D178" s="296"/>
      <c r="E178" s="337">
        <v>35000</v>
      </c>
      <c r="F178" s="297"/>
      <c r="G178" s="298">
        <f t="shared" si="23"/>
        <v>1</v>
      </c>
      <c r="H178" s="337">
        <f t="shared" si="24"/>
        <v>35000</v>
      </c>
      <c r="I178" s="337">
        <v>35000</v>
      </c>
      <c r="J178" s="374">
        <f t="shared" si="0"/>
        <v>0</v>
      </c>
      <c r="K178" s="375">
        <v>0</v>
      </c>
      <c r="M178" s="174">
        <f t="shared" si="1"/>
        <v>0</v>
      </c>
      <c r="O178" s="144"/>
      <c r="FH178" s="359"/>
      <c r="FI178" s="359"/>
      <c r="FJ178" s="359"/>
      <c r="FK178" s="359"/>
      <c r="FL178" s="359"/>
      <c r="FM178" s="359"/>
      <c r="FN178" s="359"/>
      <c r="FO178" s="359"/>
      <c r="FP178" s="359"/>
      <c r="FQ178" s="359"/>
      <c r="FR178" s="359"/>
      <c r="FS178" s="359"/>
      <c r="FT178" s="359"/>
      <c r="FU178" s="359"/>
      <c r="FV178" s="359"/>
      <c r="FW178" s="359"/>
      <c r="FX178" s="359"/>
      <c r="FY178" s="359"/>
      <c r="FZ178" s="359"/>
      <c r="GA178" s="359"/>
      <c r="GB178" s="359"/>
      <c r="GC178" s="359"/>
      <c r="GD178" s="359"/>
      <c r="GE178" s="359"/>
      <c r="GF178" s="359"/>
      <c r="GG178" s="359"/>
      <c r="GH178" s="359"/>
      <c r="GI178" s="359"/>
      <c r="GJ178" s="359"/>
      <c r="GK178" s="359"/>
      <c r="GL178" s="359"/>
      <c r="GM178" s="359"/>
      <c r="GN178" s="359"/>
      <c r="GO178" s="359"/>
      <c r="GP178" s="359"/>
      <c r="GQ178" s="359"/>
      <c r="GR178" s="359"/>
      <c r="GS178" s="359"/>
      <c r="GT178" s="359"/>
      <c r="GU178" s="359"/>
      <c r="GV178" s="359"/>
      <c r="GW178" s="359"/>
      <c r="GX178" s="359"/>
      <c r="GY178" s="359"/>
      <c r="GZ178" s="359"/>
      <c r="HA178" s="359"/>
      <c r="HB178" s="359"/>
      <c r="HC178" s="359"/>
      <c r="HD178" s="359"/>
      <c r="HE178" s="359"/>
      <c r="HF178" s="359"/>
      <c r="HG178" s="359"/>
      <c r="HH178" s="359"/>
      <c r="HI178" s="359"/>
      <c r="HJ178" s="359"/>
      <c r="HK178" s="359"/>
      <c r="HL178" s="359"/>
      <c r="HM178" s="359"/>
      <c r="HN178" s="359"/>
      <c r="HO178" s="359"/>
      <c r="HP178" s="359"/>
      <c r="HQ178" s="359"/>
      <c r="HR178" s="359"/>
      <c r="HS178" s="359"/>
      <c r="HT178" s="359"/>
      <c r="HU178" s="359"/>
      <c r="HV178" s="359"/>
      <c r="HW178" s="359"/>
      <c r="HX178" s="359"/>
      <c r="HY178" s="359"/>
      <c r="HZ178" s="359"/>
      <c r="IA178" s="359"/>
      <c r="IB178" s="359"/>
      <c r="IC178" s="359"/>
      <c r="ID178" s="359"/>
      <c r="IE178" s="359"/>
      <c r="IF178" s="359"/>
      <c r="IG178" s="359"/>
      <c r="IH178" s="359"/>
      <c r="II178" s="359"/>
      <c r="IJ178" s="359"/>
      <c r="IK178" s="359"/>
      <c r="IL178" s="359"/>
      <c r="IM178" s="359"/>
      <c r="IN178" s="359"/>
      <c r="IO178" s="359"/>
      <c r="IP178" s="359"/>
      <c r="IQ178" s="359"/>
      <c r="IR178" s="359"/>
      <c r="IS178" s="359"/>
      <c r="IT178" s="359"/>
      <c r="IU178" s="359"/>
      <c r="IV178" s="359"/>
    </row>
    <row r="179" spans="1:15" ht="23.25">
      <c r="A179" s="251" t="s">
        <v>87</v>
      </c>
      <c r="B179" s="252" t="s">
        <v>286</v>
      </c>
      <c r="C179" s="253">
        <v>0.06</v>
      </c>
      <c r="D179" s="254">
        <v>120127</v>
      </c>
      <c r="E179" s="257">
        <v>120127</v>
      </c>
      <c r="F179" s="255"/>
      <c r="G179" s="256">
        <f aca="true" t="shared" si="25" ref="G179:G182">H179/E179</f>
        <v>1</v>
      </c>
      <c r="H179" s="257">
        <f>+I179+K179</f>
        <v>120127</v>
      </c>
      <c r="I179" s="249">
        <f>SUM(I180:I181)</f>
        <v>120127</v>
      </c>
      <c r="J179" s="256">
        <f t="shared" si="0"/>
        <v>0</v>
      </c>
      <c r="K179" s="258">
        <f>SUM(K180:K181)</f>
        <v>0</v>
      </c>
      <c r="M179" s="174">
        <f t="shared" si="1"/>
        <v>0</v>
      </c>
      <c r="O179" s="144"/>
    </row>
    <row r="180" spans="1:256" ht="23.25">
      <c r="A180" s="309" t="s">
        <v>287</v>
      </c>
      <c r="B180" s="294" t="s">
        <v>288</v>
      </c>
      <c r="C180" s="295">
        <f>+E180/E179</f>
        <v>0.7086416875473457</v>
      </c>
      <c r="D180" s="310"/>
      <c r="E180" s="299">
        <v>85127</v>
      </c>
      <c r="F180" s="311"/>
      <c r="G180" s="298">
        <f t="shared" si="25"/>
        <v>1</v>
      </c>
      <c r="H180" s="299">
        <f aca="true" t="shared" si="26" ref="H180:H181">+K180+I180</f>
        <v>85127</v>
      </c>
      <c r="I180" s="337">
        <v>85127</v>
      </c>
      <c r="J180" s="298">
        <f t="shared" si="0"/>
        <v>0</v>
      </c>
      <c r="K180" s="300">
        <v>0</v>
      </c>
      <c r="M180" s="174">
        <f t="shared" si="1"/>
        <v>0</v>
      </c>
      <c r="O180" s="144"/>
      <c r="FH180" s="359"/>
      <c r="FI180" s="359"/>
      <c r="FJ180" s="359"/>
      <c r="FK180" s="359"/>
      <c r="FL180" s="359"/>
      <c r="FM180" s="359"/>
      <c r="FN180" s="359"/>
      <c r="FO180" s="359"/>
      <c r="FP180" s="359"/>
      <c r="FQ180" s="359"/>
      <c r="FR180" s="359"/>
      <c r="FS180" s="359"/>
      <c r="FT180" s="359"/>
      <c r="FU180" s="359"/>
      <c r="FV180" s="359"/>
      <c r="FW180" s="359"/>
      <c r="FX180" s="359"/>
      <c r="FY180" s="359"/>
      <c r="FZ180" s="359"/>
      <c r="GA180" s="359"/>
      <c r="GB180" s="359"/>
      <c r="GC180" s="359"/>
      <c r="GD180" s="359"/>
      <c r="GE180" s="359"/>
      <c r="GF180" s="359"/>
      <c r="GG180" s="359"/>
      <c r="GH180" s="359"/>
      <c r="GI180" s="359"/>
      <c r="GJ180" s="359"/>
      <c r="GK180" s="359"/>
      <c r="GL180" s="359"/>
      <c r="GM180" s="359"/>
      <c r="GN180" s="359"/>
      <c r="GO180" s="359"/>
      <c r="GP180" s="359"/>
      <c r="GQ180" s="359"/>
      <c r="GR180" s="359"/>
      <c r="GS180" s="359"/>
      <c r="GT180" s="359"/>
      <c r="GU180" s="359"/>
      <c r="GV180" s="359"/>
      <c r="GW180" s="359"/>
      <c r="GX180" s="359"/>
      <c r="GY180" s="359"/>
      <c r="GZ180" s="359"/>
      <c r="HA180" s="359"/>
      <c r="HB180" s="359"/>
      <c r="HC180" s="359"/>
      <c r="HD180" s="359"/>
      <c r="HE180" s="359"/>
      <c r="HF180" s="359"/>
      <c r="HG180" s="359"/>
      <c r="HH180" s="359"/>
      <c r="HI180" s="359"/>
      <c r="HJ180" s="359"/>
      <c r="HK180" s="359"/>
      <c r="HL180" s="359"/>
      <c r="HM180" s="359"/>
      <c r="HN180" s="359"/>
      <c r="HO180" s="359"/>
      <c r="HP180" s="359"/>
      <c r="HQ180" s="359"/>
      <c r="HR180" s="359"/>
      <c r="HS180" s="359"/>
      <c r="HT180" s="359"/>
      <c r="HU180" s="359"/>
      <c r="HV180" s="359"/>
      <c r="HW180" s="359"/>
      <c r="HX180" s="359"/>
      <c r="HY180" s="359"/>
      <c r="HZ180" s="359"/>
      <c r="IA180" s="359"/>
      <c r="IB180" s="359"/>
      <c r="IC180" s="359"/>
      <c r="ID180" s="359"/>
      <c r="IE180" s="359"/>
      <c r="IF180" s="359"/>
      <c r="IG180" s="359"/>
      <c r="IH180" s="359"/>
      <c r="II180" s="359"/>
      <c r="IJ180" s="359"/>
      <c r="IK180" s="359"/>
      <c r="IL180" s="359"/>
      <c r="IM180" s="359"/>
      <c r="IN180" s="359"/>
      <c r="IO180" s="359"/>
      <c r="IP180" s="359"/>
      <c r="IQ180" s="359"/>
      <c r="IR180" s="359"/>
      <c r="IS180" s="359"/>
      <c r="IT180" s="359"/>
      <c r="IU180" s="359"/>
      <c r="IV180" s="359"/>
    </row>
    <row r="181" spans="1:256" ht="23.25">
      <c r="A181" s="309" t="s">
        <v>289</v>
      </c>
      <c r="B181" s="294" t="s">
        <v>290</v>
      </c>
      <c r="C181" s="295">
        <f>+E181/E179</f>
        <v>0.29135831245265426</v>
      </c>
      <c r="D181" s="310"/>
      <c r="E181" s="299">
        <v>35000</v>
      </c>
      <c r="F181" s="311"/>
      <c r="G181" s="298">
        <f t="shared" si="25"/>
        <v>1</v>
      </c>
      <c r="H181" s="299">
        <f t="shared" si="26"/>
        <v>35000</v>
      </c>
      <c r="I181" s="337">
        <v>35000</v>
      </c>
      <c r="J181" s="298">
        <f t="shared" si="0"/>
        <v>0</v>
      </c>
      <c r="K181" s="300">
        <v>0</v>
      </c>
      <c r="M181" s="174">
        <f t="shared" si="1"/>
        <v>0</v>
      </c>
      <c r="O181" s="144"/>
      <c r="FH181" s="359"/>
      <c r="FI181" s="359"/>
      <c r="FJ181" s="359"/>
      <c r="FK181" s="359"/>
      <c r="FL181" s="359"/>
      <c r="FM181" s="359"/>
      <c r="FN181" s="359"/>
      <c r="FO181" s="359"/>
      <c r="FP181" s="359"/>
      <c r="FQ181" s="359"/>
      <c r="FR181" s="359"/>
      <c r="FS181" s="359"/>
      <c r="FT181" s="359"/>
      <c r="FU181" s="359"/>
      <c r="FV181" s="359"/>
      <c r="FW181" s="359"/>
      <c r="FX181" s="359"/>
      <c r="FY181" s="359"/>
      <c r="FZ181" s="359"/>
      <c r="GA181" s="359"/>
      <c r="GB181" s="359"/>
      <c r="GC181" s="359"/>
      <c r="GD181" s="359"/>
      <c r="GE181" s="359"/>
      <c r="GF181" s="359"/>
      <c r="GG181" s="359"/>
      <c r="GH181" s="359"/>
      <c r="GI181" s="359"/>
      <c r="GJ181" s="359"/>
      <c r="GK181" s="359"/>
      <c r="GL181" s="359"/>
      <c r="GM181" s="359"/>
      <c r="GN181" s="359"/>
      <c r="GO181" s="359"/>
      <c r="GP181" s="359"/>
      <c r="GQ181" s="359"/>
      <c r="GR181" s="359"/>
      <c r="GS181" s="359"/>
      <c r="GT181" s="359"/>
      <c r="GU181" s="359"/>
      <c r="GV181" s="359"/>
      <c r="GW181" s="359"/>
      <c r="GX181" s="359"/>
      <c r="GY181" s="359"/>
      <c r="GZ181" s="359"/>
      <c r="HA181" s="359"/>
      <c r="HB181" s="359"/>
      <c r="HC181" s="359"/>
      <c r="HD181" s="359"/>
      <c r="HE181" s="359"/>
      <c r="HF181" s="359"/>
      <c r="HG181" s="359"/>
      <c r="HH181" s="359"/>
      <c r="HI181" s="359"/>
      <c r="HJ181" s="359"/>
      <c r="HK181" s="359"/>
      <c r="HL181" s="359"/>
      <c r="HM181" s="359"/>
      <c r="HN181" s="359"/>
      <c r="HO181" s="359"/>
      <c r="HP181" s="359"/>
      <c r="HQ181" s="359"/>
      <c r="HR181" s="359"/>
      <c r="HS181" s="359"/>
      <c r="HT181" s="359"/>
      <c r="HU181" s="359"/>
      <c r="HV181" s="359"/>
      <c r="HW181" s="359"/>
      <c r="HX181" s="359"/>
      <c r="HY181" s="359"/>
      <c r="HZ181" s="359"/>
      <c r="IA181" s="359"/>
      <c r="IB181" s="359"/>
      <c r="IC181" s="359"/>
      <c r="ID181" s="359"/>
      <c r="IE181" s="359"/>
      <c r="IF181" s="359"/>
      <c r="IG181" s="359"/>
      <c r="IH181" s="359"/>
      <c r="II181" s="359"/>
      <c r="IJ181" s="359"/>
      <c r="IK181" s="359"/>
      <c r="IL181" s="359"/>
      <c r="IM181" s="359"/>
      <c r="IN181" s="359"/>
      <c r="IO181" s="359"/>
      <c r="IP181" s="359"/>
      <c r="IQ181" s="359"/>
      <c r="IR181" s="359"/>
      <c r="IS181" s="359"/>
      <c r="IT181" s="359"/>
      <c r="IU181" s="359"/>
      <c r="IV181" s="359"/>
    </row>
    <row r="182" spans="1:15" ht="23.25">
      <c r="A182" s="251" t="s">
        <v>89</v>
      </c>
      <c r="B182" s="252" t="s">
        <v>291</v>
      </c>
      <c r="C182" s="253">
        <v>0.05</v>
      </c>
      <c r="D182" s="254">
        <v>100106</v>
      </c>
      <c r="E182" s="257">
        <v>100106</v>
      </c>
      <c r="F182" s="255"/>
      <c r="G182" s="256">
        <f t="shared" si="25"/>
        <v>1</v>
      </c>
      <c r="H182" s="257">
        <f>+I182+K182</f>
        <v>100106</v>
      </c>
      <c r="I182" s="257">
        <f>SUM(I183:I184)</f>
        <v>80106</v>
      </c>
      <c r="J182" s="256">
        <f t="shared" si="0"/>
        <v>0.19978822448204903</v>
      </c>
      <c r="K182" s="258">
        <f>SUM(K183:K184)</f>
        <v>20000</v>
      </c>
      <c r="M182" s="174">
        <f t="shared" si="1"/>
        <v>20000</v>
      </c>
      <c r="O182" s="144"/>
    </row>
    <row r="183" spans="1:256" ht="23.25">
      <c r="A183" s="309" t="s">
        <v>292</v>
      </c>
      <c r="B183" s="294" t="s">
        <v>293</v>
      </c>
      <c r="C183" s="295">
        <f>+E183/E182</f>
        <v>0.600423551035902</v>
      </c>
      <c r="D183" s="310"/>
      <c r="E183" s="299">
        <v>60106</v>
      </c>
      <c r="F183" s="311"/>
      <c r="G183" s="298">
        <f aca="true" t="shared" si="27" ref="G183:G184">+H183/E183</f>
        <v>1</v>
      </c>
      <c r="H183" s="299">
        <f aca="true" t="shared" si="28" ref="H183:H184">+K183+I183</f>
        <v>60106</v>
      </c>
      <c r="I183" s="299">
        <v>60106</v>
      </c>
      <c r="J183" s="298">
        <f t="shared" si="0"/>
        <v>0</v>
      </c>
      <c r="K183" s="300">
        <v>0</v>
      </c>
      <c r="M183" s="174">
        <f t="shared" si="1"/>
        <v>0</v>
      </c>
      <c r="O183" s="144"/>
      <c r="FH183" s="304"/>
      <c r="FI183" s="304"/>
      <c r="FJ183" s="304"/>
      <c r="FK183" s="304"/>
      <c r="FL183" s="304"/>
      <c r="FM183" s="304"/>
      <c r="FN183" s="304"/>
      <c r="FO183" s="304"/>
      <c r="FP183" s="304"/>
      <c r="FQ183" s="304"/>
      <c r="FR183" s="304"/>
      <c r="FS183" s="304"/>
      <c r="FT183" s="304"/>
      <c r="FU183" s="304"/>
      <c r="FV183" s="304"/>
      <c r="FW183" s="304"/>
      <c r="FX183" s="304"/>
      <c r="FY183" s="304"/>
      <c r="FZ183" s="304"/>
      <c r="GA183" s="304"/>
      <c r="GB183" s="304"/>
      <c r="GC183" s="304"/>
      <c r="GD183" s="304"/>
      <c r="GE183" s="304"/>
      <c r="GF183" s="304"/>
      <c r="GG183" s="304"/>
      <c r="GH183" s="304"/>
      <c r="GI183" s="304"/>
      <c r="GJ183" s="304"/>
      <c r="GK183" s="304"/>
      <c r="GL183" s="304"/>
      <c r="GM183" s="304"/>
      <c r="GN183" s="304"/>
      <c r="GO183" s="304"/>
      <c r="GP183" s="304"/>
      <c r="GQ183" s="304"/>
      <c r="GR183" s="304"/>
      <c r="GS183" s="304"/>
      <c r="GT183" s="304"/>
      <c r="GU183" s="304"/>
      <c r="GV183" s="304"/>
      <c r="GW183" s="304"/>
      <c r="GX183" s="304"/>
      <c r="GY183" s="304"/>
      <c r="GZ183" s="304"/>
      <c r="HA183" s="304"/>
      <c r="HB183" s="304"/>
      <c r="HC183" s="304"/>
      <c r="HD183" s="304"/>
      <c r="HE183" s="304"/>
      <c r="HF183" s="304"/>
      <c r="HG183" s="304"/>
      <c r="HH183" s="304"/>
      <c r="HI183" s="304"/>
      <c r="HJ183" s="304"/>
      <c r="HK183" s="304"/>
      <c r="HL183" s="304"/>
      <c r="HM183" s="304"/>
      <c r="HN183" s="304"/>
      <c r="HO183" s="304"/>
      <c r="HP183" s="304"/>
      <c r="HQ183" s="304"/>
      <c r="HR183" s="304"/>
      <c r="HS183" s="304"/>
      <c r="HT183" s="304"/>
      <c r="HU183" s="304"/>
      <c r="HV183" s="304"/>
      <c r="HW183" s="304"/>
      <c r="HX183" s="304"/>
      <c r="HY183" s="304"/>
      <c r="HZ183" s="304"/>
      <c r="IA183" s="304"/>
      <c r="IB183" s="304"/>
      <c r="IC183" s="304"/>
      <c r="ID183" s="304"/>
      <c r="IE183" s="304"/>
      <c r="IF183" s="304"/>
      <c r="IG183" s="304"/>
      <c r="IH183" s="304"/>
      <c r="II183" s="304"/>
      <c r="IJ183" s="304"/>
      <c r="IK183" s="304"/>
      <c r="IL183" s="304"/>
      <c r="IM183" s="304"/>
      <c r="IN183" s="304"/>
      <c r="IO183" s="304"/>
      <c r="IP183" s="304"/>
      <c r="IQ183" s="304"/>
      <c r="IR183" s="304"/>
      <c r="IS183" s="304"/>
      <c r="IT183" s="304"/>
      <c r="IU183" s="304"/>
      <c r="IV183" s="304"/>
    </row>
    <row r="184" spans="1:256" ht="23.25">
      <c r="A184" s="309" t="s">
        <v>294</v>
      </c>
      <c r="B184" s="294" t="s">
        <v>295</v>
      </c>
      <c r="C184" s="295">
        <f>+E184/E182</f>
        <v>0.39957644896409805</v>
      </c>
      <c r="D184" s="310"/>
      <c r="E184" s="299">
        <v>40000</v>
      </c>
      <c r="F184" s="311"/>
      <c r="G184" s="298">
        <f t="shared" si="27"/>
        <v>1</v>
      </c>
      <c r="H184" s="299">
        <f t="shared" si="28"/>
        <v>40000</v>
      </c>
      <c r="I184" s="299">
        <v>20000</v>
      </c>
      <c r="J184" s="298">
        <f t="shared" si="0"/>
        <v>0.5</v>
      </c>
      <c r="K184" s="300">
        <v>20000</v>
      </c>
      <c r="M184" s="174">
        <f t="shared" si="1"/>
        <v>20000</v>
      </c>
      <c r="O184" s="144"/>
      <c r="FH184" s="304"/>
      <c r="FI184" s="304"/>
      <c r="FJ184" s="304"/>
      <c r="FK184" s="304"/>
      <c r="FL184" s="304"/>
      <c r="FM184" s="304"/>
      <c r="FN184" s="304"/>
      <c r="FO184" s="304"/>
      <c r="FP184" s="304"/>
      <c r="FQ184" s="304"/>
      <c r="FR184" s="304"/>
      <c r="FS184" s="304"/>
      <c r="FT184" s="304"/>
      <c r="FU184" s="304"/>
      <c r="FV184" s="304"/>
      <c r="FW184" s="304"/>
      <c r="FX184" s="304"/>
      <c r="FY184" s="304"/>
      <c r="FZ184" s="304"/>
      <c r="GA184" s="304"/>
      <c r="GB184" s="304"/>
      <c r="GC184" s="304"/>
      <c r="GD184" s="304"/>
      <c r="GE184" s="304"/>
      <c r="GF184" s="304"/>
      <c r="GG184" s="304"/>
      <c r="GH184" s="304"/>
      <c r="GI184" s="304"/>
      <c r="GJ184" s="304"/>
      <c r="GK184" s="304"/>
      <c r="GL184" s="304"/>
      <c r="GM184" s="304"/>
      <c r="GN184" s="304"/>
      <c r="GO184" s="304"/>
      <c r="GP184" s="304"/>
      <c r="GQ184" s="304"/>
      <c r="GR184" s="304"/>
      <c r="GS184" s="304"/>
      <c r="GT184" s="304"/>
      <c r="GU184" s="304"/>
      <c r="GV184" s="304"/>
      <c r="GW184" s="304"/>
      <c r="GX184" s="304"/>
      <c r="GY184" s="304"/>
      <c r="GZ184" s="304"/>
      <c r="HA184" s="304"/>
      <c r="HB184" s="304"/>
      <c r="HC184" s="304"/>
      <c r="HD184" s="304"/>
      <c r="HE184" s="304"/>
      <c r="HF184" s="304"/>
      <c r="HG184" s="304"/>
      <c r="HH184" s="304"/>
      <c r="HI184" s="304"/>
      <c r="HJ184" s="304"/>
      <c r="HK184" s="304"/>
      <c r="HL184" s="304"/>
      <c r="HM184" s="304"/>
      <c r="HN184" s="304"/>
      <c r="HO184" s="304"/>
      <c r="HP184" s="304"/>
      <c r="HQ184" s="304"/>
      <c r="HR184" s="304"/>
      <c r="HS184" s="304"/>
      <c r="HT184" s="304"/>
      <c r="HU184" s="304"/>
      <c r="HV184" s="304"/>
      <c r="HW184" s="304"/>
      <c r="HX184" s="304"/>
      <c r="HY184" s="304"/>
      <c r="HZ184" s="304"/>
      <c r="IA184" s="304"/>
      <c r="IB184" s="304"/>
      <c r="IC184" s="304"/>
      <c r="ID184" s="304"/>
      <c r="IE184" s="304"/>
      <c r="IF184" s="304"/>
      <c r="IG184" s="304"/>
      <c r="IH184" s="304"/>
      <c r="II184" s="304"/>
      <c r="IJ184" s="304"/>
      <c r="IK184" s="304"/>
      <c r="IL184" s="304"/>
      <c r="IM184" s="304"/>
      <c r="IN184" s="304"/>
      <c r="IO184" s="304"/>
      <c r="IP184" s="304"/>
      <c r="IQ184" s="304"/>
      <c r="IR184" s="304"/>
      <c r="IS184" s="304"/>
      <c r="IT184" s="304"/>
      <c r="IU184" s="304"/>
      <c r="IV184" s="304"/>
    </row>
    <row r="185" spans="1:15" ht="23.25">
      <c r="A185" s="251" t="s">
        <v>91</v>
      </c>
      <c r="B185" s="252" t="s">
        <v>296</v>
      </c>
      <c r="C185" s="253">
        <v>0.55</v>
      </c>
      <c r="D185" s="254">
        <v>1101172</v>
      </c>
      <c r="E185" s="257">
        <v>1101172</v>
      </c>
      <c r="F185" s="255"/>
      <c r="G185" s="256">
        <f aca="true" t="shared" si="29" ref="G185:G375">H185/E185</f>
        <v>0.9727572077749889</v>
      </c>
      <c r="H185" s="257">
        <f>+I185+K185</f>
        <v>1071173</v>
      </c>
      <c r="I185" s="257">
        <f>+I186+I210+I230</f>
        <v>738600</v>
      </c>
      <c r="J185" s="256">
        <f t="shared" si="0"/>
        <v>0.30201730519846126</v>
      </c>
      <c r="K185" s="258">
        <f>SUM(K186,K210,K230)</f>
        <v>332573</v>
      </c>
      <c r="M185" s="174">
        <f t="shared" si="1"/>
        <v>332573</v>
      </c>
      <c r="O185" s="144"/>
    </row>
    <row r="186" spans="1:256" ht="23.25">
      <c r="A186" s="309" t="s">
        <v>297</v>
      </c>
      <c r="B186" s="294" t="s">
        <v>298</v>
      </c>
      <c r="C186" s="295">
        <f>+E186/E185</f>
        <v>0.4994678397198621</v>
      </c>
      <c r="D186" s="310"/>
      <c r="E186" s="299">
        <v>550000</v>
      </c>
      <c r="F186" s="311"/>
      <c r="G186" s="298">
        <f t="shared" si="29"/>
        <v>0.9454545454545454</v>
      </c>
      <c r="H186" s="299">
        <f>SUM(H187:H209)</f>
        <v>520000</v>
      </c>
      <c r="I186" s="299">
        <f>SUM(I187:I209)</f>
        <v>387400</v>
      </c>
      <c r="J186" s="298">
        <f t="shared" si="0"/>
        <v>0.24109090909090908</v>
      </c>
      <c r="K186" s="300">
        <f>SUM(K187:K209)</f>
        <v>132600</v>
      </c>
      <c r="M186" s="174">
        <f t="shared" si="1"/>
        <v>132600</v>
      </c>
      <c r="O186" s="144"/>
      <c r="FH186" s="359"/>
      <c r="FI186" s="359"/>
      <c r="FJ186" s="359"/>
      <c r="FK186" s="359"/>
      <c r="FL186" s="359"/>
      <c r="FM186" s="359"/>
      <c r="FN186" s="359"/>
      <c r="FO186" s="359"/>
      <c r="FP186" s="359"/>
      <c r="FQ186" s="359"/>
      <c r="FR186" s="359"/>
      <c r="FS186" s="359"/>
      <c r="FT186" s="359"/>
      <c r="FU186" s="359"/>
      <c r="FV186" s="359"/>
      <c r="FW186" s="359"/>
      <c r="FX186" s="359"/>
      <c r="FY186" s="359"/>
      <c r="FZ186" s="359"/>
      <c r="GA186" s="359"/>
      <c r="GB186" s="359"/>
      <c r="GC186" s="359"/>
      <c r="GD186" s="359"/>
      <c r="GE186" s="359"/>
      <c r="GF186" s="359"/>
      <c r="GG186" s="359"/>
      <c r="GH186" s="359"/>
      <c r="GI186" s="359"/>
      <c r="GJ186" s="359"/>
      <c r="GK186" s="359"/>
      <c r="GL186" s="359"/>
      <c r="GM186" s="359"/>
      <c r="GN186" s="359"/>
      <c r="GO186" s="359"/>
      <c r="GP186" s="359"/>
      <c r="GQ186" s="359"/>
      <c r="GR186" s="359"/>
      <c r="GS186" s="359"/>
      <c r="GT186" s="359"/>
      <c r="GU186" s="359"/>
      <c r="GV186" s="359"/>
      <c r="GW186" s="359"/>
      <c r="GX186" s="359"/>
      <c r="GY186" s="359"/>
      <c r="GZ186" s="359"/>
      <c r="HA186" s="359"/>
      <c r="HB186" s="359"/>
      <c r="HC186" s="359"/>
      <c r="HD186" s="359"/>
      <c r="HE186" s="359"/>
      <c r="HF186" s="359"/>
      <c r="HG186" s="359"/>
      <c r="HH186" s="359"/>
      <c r="HI186" s="359"/>
      <c r="HJ186" s="359"/>
      <c r="HK186" s="359"/>
      <c r="HL186" s="359"/>
      <c r="HM186" s="359"/>
      <c r="HN186" s="359"/>
      <c r="HO186" s="359"/>
      <c r="HP186" s="359"/>
      <c r="HQ186" s="359"/>
      <c r="HR186" s="359"/>
      <c r="HS186" s="359"/>
      <c r="HT186" s="359"/>
      <c r="HU186" s="359"/>
      <c r="HV186" s="359"/>
      <c r="HW186" s="359"/>
      <c r="HX186" s="359"/>
      <c r="HY186" s="359"/>
      <c r="HZ186" s="359"/>
      <c r="IA186" s="359"/>
      <c r="IB186" s="359"/>
      <c r="IC186" s="359"/>
      <c r="ID186" s="359"/>
      <c r="IE186" s="359"/>
      <c r="IF186" s="359"/>
      <c r="IG186" s="359"/>
      <c r="IH186" s="359"/>
      <c r="II186" s="359"/>
      <c r="IJ186" s="359"/>
      <c r="IK186" s="359"/>
      <c r="IL186" s="359"/>
      <c r="IM186" s="359"/>
      <c r="IN186" s="359"/>
      <c r="IO186" s="359"/>
      <c r="IP186" s="359"/>
      <c r="IQ186" s="359"/>
      <c r="IR186" s="359"/>
      <c r="IS186" s="359"/>
      <c r="IT186" s="359"/>
      <c r="IU186" s="359"/>
      <c r="IV186" s="359"/>
    </row>
    <row r="187" spans="1:256" ht="23.25">
      <c r="A187" s="339" t="s">
        <v>299</v>
      </c>
      <c r="B187" s="354" t="s">
        <v>300</v>
      </c>
      <c r="C187" s="355">
        <f aca="true" t="shared" si="30" ref="C187:C209">+E187/$E$186</f>
        <v>0.038181818181818185</v>
      </c>
      <c r="D187" s="356"/>
      <c r="E187" s="343">
        <v>21000</v>
      </c>
      <c r="F187" s="344"/>
      <c r="G187" s="376">
        <f t="shared" si="29"/>
        <v>1</v>
      </c>
      <c r="H187" s="377">
        <f aca="true" t="shared" si="31" ref="H187:H240">+I187+K187</f>
        <v>21000</v>
      </c>
      <c r="I187" s="377">
        <v>21000</v>
      </c>
      <c r="J187" s="376">
        <f t="shared" si="0"/>
        <v>0</v>
      </c>
      <c r="K187" s="348">
        <v>0</v>
      </c>
      <c r="M187" s="174">
        <f t="shared" si="1"/>
        <v>0</v>
      </c>
      <c r="O187" s="144"/>
      <c r="FH187" s="304"/>
      <c r="FI187" s="304"/>
      <c r="FJ187" s="304"/>
      <c r="FK187" s="304"/>
      <c r="FL187" s="304"/>
      <c r="FM187" s="304"/>
      <c r="FN187" s="304"/>
      <c r="FO187" s="304"/>
      <c r="FP187" s="304"/>
      <c r="FQ187" s="304"/>
      <c r="FR187" s="304"/>
      <c r="FS187" s="304"/>
      <c r="FT187" s="304"/>
      <c r="FU187" s="304"/>
      <c r="FV187" s="304"/>
      <c r="FW187" s="304"/>
      <c r="FX187" s="304"/>
      <c r="FY187" s="304"/>
      <c r="FZ187" s="304"/>
      <c r="GA187" s="304"/>
      <c r="GB187" s="304"/>
      <c r="GC187" s="304"/>
      <c r="GD187" s="304"/>
      <c r="GE187" s="304"/>
      <c r="GF187" s="304"/>
      <c r="GG187" s="304"/>
      <c r="GH187" s="304"/>
      <c r="GI187" s="304"/>
      <c r="GJ187" s="304"/>
      <c r="GK187" s="304"/>
      <c r="GL187" s="304"/>
      <c r="GM187" s="304"/>
      <c r="GN187" s="304"/>
      <c r="GO187" s="304"/>
      <c r="GP187" s="304"/>
      <c r="GQ187" s="304"/>
      <c r="GR187" s="304"/>
      <c r="GS187" s="304"/>
      <c r="GT187" s="304"/>
      <c r="GU187" s="304"/>
      <c r="GV187" s="304"/>
      <c r="GW187" s="304"/>
      <c r="GX187" s="304"/>
      <c r="GY187" s="304"/>
      <c r="GZ187" s="304"/>
      <c r="HA187" s="304"/>
      <c r="HB187" s="304"/>
      <c r="HC187" s="304"/>
      <c r="HD187" s="304"/>
      <c r="HE187" s="304"/>
      <c r="HF187" s="304"/>
      <c r="HG187" s="304"/>
      <c r="HH187" s="304"/>
      <c r="HI187" s="304"/>
      <c r="HJ187" s="304"/>
      <c r="HK187" s="304"/>
      <c r="HL187" s="304"/>
      <c r="HM187" s="304"/>
      <c r="HN187" s="304"/>
      <c r="HO187" s="304"/>
      <c r="HP187" s="304"/>
      <c r="HQ187" s="304"/>
      <c r="HR187" s="304"/>
      <c r="HS187" s="304"/>
      <c r="HT187" s="304"/>
      <c r="HU187" s="304"/>
      <c r="HV187" s="304"/>
      <c r="HW187" s="304"/>
      <c r="HX187" s="304"/>
      <c r="HY187" s="304"/>
      <c r="HZ187" s="304"/>
      <c r="IA187" s="304"/>
      <c r="IB187" s="304"/>
      <c r="IC187" s="304"/>
      <c r="ID187" s="304"/>
      <c r="IE187" s="304"/>
      <c r="IF187" s="304"/>
      <c r="IG187" s="304"/>
      <c r="IH187" s="304"/>
      <c r="II187" s="304"/>
      <c r="IJ187" s="304"/>
      <c r="IK187" s="304"/>
      <c r="IL187" s="304"/>
      <c r="IM187" s="304"/>
      <c r="IN187" s="304"/>
      <c r="IO187" s="304"/>
      <c r="IP187" s="304"/>
      <c r="IQ187" s="304"/>
      <c r="IR187" s="304"/>
      <c r="IS187" s="304"/>
      <c r="IT187" s="304"/>
      <c r="IU187" s="304"/>
      <c r="IV187" s="304"/>
    </row>
    <row r="188" spans="1:256" ht="23.25">
      <c r="A188" s="339" t="s">
        <v>301</v>
      </c>
      <c r="B188" s="354" t="s">
        <v>302</v>
      </c>
      <c r="C188" s="355">
        <f t="shared" si="30"/>
        <v>0.05454545454545454</v>
      </c>
      <c r="D188" s="356"/>
      <c r="E188" s="343">
        <v>30000</v>
      </c>
      <c r="F188" s="344"/>
      <c r="G188" s="376">
        <f t="shared" si="29"/>
        <v>1</v>
      </c>
      <c r="H188" s="377">
        <f t="shared" si="31"/>
        <v>30000</v>
      </c>
      <c r="I188" s="377">
        <v>30000</v>
      </c>
      <c r="J188" s="376">
        <f t="shared" si="0"/>
        <v>0</v>
      </c>
      <c r="K188" s="348">
        <v>0</v>
      </c>
      <c r="M188" s="174">
        <f t="shared" si="1"/>
        <v>0</v>
      </c>
      <c r="O188" s="144"/>
      <c r="FH188" s="304"/>
      <c r="FI188" s="304"/>
      <c r="FJ188" s="304"/>
      <c r="FK188" s="304"/>
      <c r="FL188" s="304"/>
      <c r="FM188" s="304"/>
      <c r="FN188" s="304"/>
      <c r="FO188" s="304"/>
      <c r="FP188" s="304"/>
      <c r="FQ188" s="304"/>
      <c r="FR188" s="304"/>
      <c r="FS188" s="304"/>
      <c r="FT188" s="304"/>
      <c r="FU188" s="304"/>
      <c r="FV188" s="304"/>
      <c r="FW188" s="304"/>
      <c r="FX188" s="304"/>
      <c r="FY188" s="304"/>
      <c r="FZ188" s="304"/>
      <c r="GA188" s="304"/>
      <c r="GB188" s="304"/>
      <c r="GC188" s="304"/>
      <c r="GD188" s="304"/>
      <c r="GE188" s="304"/>
      <c r="GF188" s="304"/>
      <c r="GG188" s="304"/>
      <c r="GH188" s="304"/>
      <c r="GI188" s="304"/>
      <c r="GJ188" s="304"/>
      <c r="GK188" s="304"/>
      <c r="GL188" s="304"/>
      <c r="GM188" s="304"/>
      <c r="GN188" s="304"/>
      <c r="GO188" s="304"/>
      <c r="GP188" s="304"/>
      <c r="GQ188" s="304"/>
      <c r="GR188" s="304"/>
      <c r="GS188" s="304"/>
      <c r="GT188" s="304"/>
      <c r="GU188" s="304"/>
      <c r="GV188" s="304"/>
      <c r="GW188" s="304"/>
      <c r="GX188" s="304"/>
      <c r="GY188" s="304"/>
      <c r="GZ188" s="304"/>
      <c r="HA188" s="304"/>
      <c r="HB188" s="304"/>
      <c r="HC188" s="304"/>
      <c r="HD188" s="304"/>
      <c r="HE188" s="304"/>
      <c r="HF188" s="304"/>
      <c r="HG188" s="304"/>
      <c r="HH188" s="304"/>
      <c r="HI188" s="304"/>
      <c r="HJ188" s="304"/>
      <c r="HK188" s="304"/>
      <c r="HL188" s="304"/>
      <c r="HM188" s="304"/>
      <c r="HN188" s="304"/>
      <c r="HO188" s="304"/>
      <c r="HP188" s="304"/>
      <c r="HQ188" s="304"/>
      <c r="HR188" s="304"/>
      <c r="HS188" s="304"/>
      <c r="HT188" s="304"/>
      <c r="HU188" s="304"/>
      <c r="HV188" s="304"/>
      <c r="HW188" s="304"/>
      <c r="HX188" s="304"/>
      <c r="HY188" s="304"/>
      <c r="HZ188" s="304"/>
      <c r="IA188" s="304"/>
      <c r="IB188" s="304"/>
      <c r="IC188" s="304"/>
      <c r="ID188" s="304"/>
      <c r="IE188" s="304"/>
      <c r="IF188" s="304"/>
      <c r="IG188" s="304"/>
      <c r="IH188" s="304"/>
      <c r="II188" s="304"/>
      <c r="IJ188" s="304"/>
      <c r="IK188" s="304"/>
      <c r="IL188" s="304"/>
      <c r="IM188" s="304"/>
      <c r="IN188" s="304"/>
      <c r="IO188" s="304"/>
      <c r="IP188" s="304"/>
      <c r="IQ188" s="304"/>
      <c r="IR188" s="304"/>
      <c r="IS188" s="304"/>
      <c r="IT188" s="304"/>
      <c r="IU188" s="304"/>
      <c r="IV188" s="304"/>
    </row>
    <row r="189" spans="1:256" ht="23.25">
      <c r="A189" s="339" t="s">
        <v>303</v>
      </c>
      <c r="B189" s="354" t="s">
        <v>304</v>
      </c>
      <c r="C189" s="355">
        <f t="shared" si="30"/>
        <v>0.02727272727272727</v>
      </c>
      <c r="D189" s="356"/>
      <c r="E189" s="343">
        <v>15000</v>
      </c>
      <c r="F189" s="344"/>
      <c r="G189" s="376">
        <f t="shared" si="29"/>
        <v>1</v>
      </c>
      <c r="H189" s="377">
        <f t="shared" si="31"/>
        <v>15000</v>
      </c>
      <c r="I189" s="377">
        <v>12000</v>
      </c>
      <c r="J189" s="376">
        <f t="shared" si="0"/>
        <v>0.2</v>
      </c>
      <c r="K189" s="348">
        <v>3000</v>
      </c>
      <c r="M189" s="174">
        <f t="shared" si="1"/>
        <v>3000</v>
      </c>
      <c r="O189" s="144"/>
      <c r="FH189" s="304"/>
      <c r="FI189" s="304"/>
      <c r="FJ189" s="304"/>
      <c r="FK189" s="304"/>
      <c r="FL189" s="304"/>
      <c r="FM189" s="304"/>
      <c r="FN189" s="304"/>
      <c r="FO189" s="304"/>
      <c r="FP189" s="304"/>
      <c r="FQ189" s="304"/>
      <c r="FR189" s="304"/>
      <c r="FS189" s="304"/>
      <c r="FT189" s="304"/>
      <c r="FU189" s="304"/>
      <c r="FV189" s="304"/>
      <c r="FW189" s="304"/>
      <c r="FX189" s="304"/>
      <c r="FY189" s="304"/>
      <c r="FZ189" s="304"/>
      <c r="GA189" s="304"/>
      <c r="GB189" s="304"/>
      <c r="GC189" s="304"/>
      <c r="GD189" s="304"/>
      <c r="GE189" s="304"/>
      <c r="GF189" s="304"/>
      <c r="GG189" s="304"/>
      <c r="GH189" s="304"/>
      <c r="GI189" s="304"/>
      <c r="GJ189" s="304"/>
      <c r="GK189" s="304"/>
      <c r="GL189" s="304"/>
      <c r="GM189" s="304"/>
      <c r="GN189" s="304"/>
      <c r="GO189" s="304"/>
      <c r="GP189" s="304"/>
      <c r="GQ189" s="304"/>
      <c r="GR189" s="304"/>
      <c r="GS189" s="304"/>
      <c r="GT189" s="304"/>
      <c r="GU189" s="304"/>
      <c r="GV189" s="304"/>
      <c r="GW189" s="304"/>
      <c r="GX189" s="304"/>
      <c r="GY189" s="304"/>
      <c r="GZ189" s="304"/>
      <c r="HA189" s="304"/>
      <c r="HB189" s="304"/>
      <c r="HC189" s="304"/>
      <c r="HD189" s="304"/>
      <c r="HE189" s="304"/>
      <c r="HF189" s="304"/>
      <c r="HG189" s="304"/>
      <c r="HH189" s="304"/>
      <c r="HI189" s="304"/>
      <c r="HJ189" s="304"/>
      <c r="HK189" s="304"/>
      <c r="HL189" s="304"/>
      <c r="HM189" s="304"/>
      <c r="HN189" s="304"/>
      <c r="HO189" s="304"/>
      <c r="HP189" s="304"/>
      <c r="HQ189" s="304"/>
      <c r="HR189" s="304"/>
      <c r="HS189" s="304"/>
      <c r="HT189" s="304"/>
      <c r="HU189" s="304"/>
      <c r="HV189" s="304"/>
      <c r="HW189" s="304"/>
      <c r="HX189" s="304"/>
      <c r="HY189" s="304"/>
      <c r="HZ189" s="304"/>
      <c r="IA189" s="304"/>
      <c r="IB189" s="304"/>
      <c r="IC189" s="304"/>
      <c r="ID189" s="304"/>
      <c r="IE189" s="304"/>
      <c r="IF189" s="304"/>
      <c r="IG189" s="304"/>
      <c r="IH189" s="304"/>
      <c r="II189" s="304"/>
      <c r="IJ189" s="304"/>
      <c r="IK189" s="304"/>
      <c r="IL189" s="304"/>
      <c r="IM189" s="304"/>
      <c r="IN189" s="304"/>
      <c r="IO189" s="304"/>
      <c r="IP189" s="304"/>
      <c r="IQ189" s="304"/>
      <c r="IR189" s="304"/>
      <c r="IS189" s="304"/>
      <c r="IT189" s="304"/>
      <c r="IU189" s="304"/>
      <c r="IV189" s="304"/>
    </row>
    <row r="190" spans="1:256" ht="23.25">
      <c r="A190" s="339" t="s">
        <v>305</v>
      </c>
      <c r="B190" s="354" t="s">
        <v>306</v>
      </c>
      <c r="C190" s="355">
        <f t="shared" si="30"/>
        <v>0.07272727272727272</v>
      </c>
      <c r="D190" s="356"/>
      <c r="E190" s="343">
        <v>40000</v>
      </c>
      <c r="F190" s="344"/>
      <c r="G190" s="376">
        <f t="shared" si="29"/>
        <v>0.8</v>
      </c>
      <c r="H190" s="377">
        <f t="shared" si="31"/>
        <v>32000</v>
      </c>
      <c r="I190" s="377">
        <v>32000</v>
      </c>
      <c r="J190" s="376">
        <f t="shared" si="0"/>
        <v>0</v>
      </c>
      <c r="K190" s="348">
        <v>0</v>
      </c>
      <c r="M190" s="174">
        <f t="shared" si="1"/>
        <v>0</v>
      </c>
      <c r="O190" s="144"/>
      <c r="FH190" s="304"/>
      <c r="FI190" s="304"/>
      <c r="FJ190" s="304"/>
      <c r="FK190" s="304"/>
      <c r="FL190" s="304"/>
      <c r="FM190" s="304"/>
      <c r="FN190" s="304"/>
      <c r="FO190" s="304"/>
      <c r="FP190" s="304"/>
      <c r="FQ190" s="304"/>
      <c r="FR190" s="304"/>
      <c r="FS190" s="304"/>
      <c r="FT190" s="304"/>
      <c r="FU190" s="304"/>
      <c r="FV190" s="304"/>
      <c r="FW190" s="304"/>
      <c r="FX190" s="304"/>
      <c r="FY190" s="304"/>
      <c r="FZ190" s="304"/>
      <c r="GA190" s="304"/>
      <c r="GB190" s="304"/>
      <c r="GC190" s="304"/>
      <c r="GD190" s="304"/>
      <c r="GE190" s="304"/>
      <c r="GF190" s="304"/>
      <c r="GG190" s="304"/>
      <c r="GH190" s="304"/>
      <c r="GI190" s="304"/>
      <c r="GJ190" s="304"/>
      <c r="GK190" s="304"/>
      <c r="GL190" s="304"/>
      <c r="GM190" s="304"/>
      <c r="GN190" s="304"/>
      <c r="GO190" s="304"/>
      <c r="GP190" s="304"/>
      <c r="GQ190" s="304"/>
      <c r="GR190" s="304"/>
      <c r="GS190" s="304"/>
      <c r="GT190" s="304"/>
      <c r="GU190" s="304"/>
      <c r="GV190" s="304"/>
      <c r="GW190" s="304"/>
      <c r="GX190" s="304"/>
      <c r="GY190" s="304"/>
      <c r="GZ190" s="304"/>
      <c r="HA190" s="304"/>
      <c r="HB190" s="304"/>
      <c r="HC190" s="304"/>
      <c r="HD190" s="304"/>
      <c r="HE190" s="304"/>
      <c r="HF190" s="304"/>
      <c r="HG190" s="304"/>
      <c r="HH190" s="304"/>
      <c r="HI190" s="304"/>
      <c r="HJ190" s="304"/>
      <c r="HK190" s="304"/>
      <c r="HL190" s="304"/>
      <c r="HM190" s="304"/>
      <c r="HN190" s="304"/>
      <c r="HO190" s="304"/>
      <c r="HP190" s="304"/>
      <c r="HQ190" s="304"/>
      <c r="HR190" s="304"/>
      <c r="HS190" s="304"/>
      <c r="HT190" s="304"/>
      <c r="HU190" s="304"/>
      <c r="HV190" s="304"/>
      <c r="HW190" s="304"/>
      <c r="HX190" s="304"/>
      <c r="HY190" s="304"/>
      <c r="HZ190" s="304"/>
      <c r="IA190" s="304"/>
      <c r="IB190" s="304"/>
      <c r="IC190" s="304"/>
      <c r="ID190" s="304"/>
      <c r="IE190" s="304"/>
      <c r="IF190" s="304"/>
      <c r="IG190" s="304"/>
      <c r="IH190" s="304"/>
      <c r="II190" s="304"/>
      <c r="IJ190" s="304"/>
      <c r="IK190" s="304"/>
      <c r="IL190" s="304"/>
      <c r="IM190" s="304"/>
      <c r="IN190" s="304"/>
      <c r="IO190" s="304"/>
      <c r="IP190" s="304"/>
      <c r="IQ190" s="304"/>
      <c r="IR190" s="304"/>
      <c r="IS190" s="304"/>
      <c r="IT190" s="304"/>
      <c r="IU190" s="304"/>
      <c r="IV190" s="304"/>
    </row>
    <row r="191" spans="1:256" ht="23.25">
      <c r="A191" s="339" t="s">
        <v>307</v>
      </c>
      <c r="B191" s="354" t="s">
        <v>308</v>
      </c>
      <c r="C191" s="355">
        <f t="shared" si="30"/>
        <v>0.07272727272727272</v>
      </c>
      <c r="D191" s="356"/>
      <c r="E191" s="343">
        <v>40000</v>
      </c>
      <c r="F191" s="344"/>
      <c r="G191" s="376">
        <f t="shared" si="29"/>
        <v>0.8</v>
      </c>
      <c r="H191" s="377">
        <f t="shared" si="31"/>
        <v>32000</v>
      </c>
      <c r="I191" s="377">
        <v>32000</v>
      </c>
      <c r="J191" s="376">
        <f t="shared" si="0"/>
        <v>0</v>
      </c>
      <c r="K191" s="348">
        <v>0</v>
      </c>
      <c r="M191" s="174">
        <f t="shared" si="1"/>
        <v>0</v>
      </c>
      <c r="O191" s="144"/>
      <c r="FH191" s="304"/>
      <c r="FI191" s="304"/>
      <c r="FJ191" s="304"/>
      <c r="FK191" s="304"/>
      <c r="FL191" s="304"/>
      <c r="FM191" s="304"/>
      <c r="FN191" s="304"/>
      <c r="FO191" s="304"/>
      <c r="FP191" s="304"/>
      <c r="FQ191" s="304"/>
      <c r="FR191" s="304"/>
      <c r="FS191" s="304"/>
      <c r="FT191" s="304"/>
      <c r="FU191" s="304"/>
      <c r="FV191" s="304"/>
      <c r="FW191" s="304"/>
      <c r="FX191" s="304"/>
      <c r="FY191" s="304"/>
      <c r="FZ191" s="304"/>
      <c r="GA191" s="304"/>
      <c r="GB191" s="304"/>
      <c r="GC191" s="304"/>
      <c r="GD191" s="304"/>
      <c r="GE191" s="304"/>
      <c r="GF191" s="304"/>
      <c r="GG191" s="304"/>
      <c r="GH191" s="304"/>
      <c r="GI191" s="304"/>
      <c r="GJ191" s="304"/>
      <c r="GK191" s="304"/>
      <c r="GL191" s="304"/>
      <c r="GM191" s="304"/>
      <c r="GN191" s="304"/>
      <c r="GO191" s="304"/>
      <c r="GP191" s="304"/>
      <c r="GQ191" s="304"/>
      <c r="GR191" s="304"/>
      <c r="GS191" s="304"/>
      <c r="GT191" s="304"/>
      <c r="GU191" s="304"/>
      <c r="GV191" s="304"/>
      <c r="GW191" s="304"/>
      <c r="GX191" s="304"/>
      <c r="GY191" s="304"/>
      <c r="GZ191" s="304"/>
      <c r="HA191" s="304"/>
      <c r="HB191" s="304"/>
      <c r="HC191" s="304"/>
      <c r="HD191" s="304"/>
      <c r="HE191" s="304"/>
      <c r="HF191" s="304"/>
      <c r="HG191" s="304"/>
      <c r="HH191" s="304"/>
      <c r="HI191" s="304"/>
      <c r="HJ191" s="304"/>
      <c r="HK191" s="304"/>
      <c r="HL191" s="304"/>
      <c r="HM191" s="304"/>
      <c r="HN191" s="304"/>
      <c r="HO191" s="304"/>
      <c r="HP191" s="304"/>
      <c r="HQ191" s="304"/>
      <c r="HR191" s="304"/>
      <c r="HS191" s="304"/>
      <c r="HT191" s="304"/>
      <c r="HU191" s="304"/>
      <c r="HV191" s="304"/>
      <c r="HW191" s="304"/>
      <c r="HX191" s="304"/>
      <c r="HY191" s="304"/>
      <c r="HZ191" s="304"/>
      <c r="IA191" s="304"/>
      <c r="IB191" s="304"/>
      <c r="IC191" s="304"/>
      <c r="ID191" s="304"/>
      <c r="IE191" s="304"/>
      <c r="IF191" s="304"/>
      <c r="IG191" s="304"/>
      <c r="IH191" s="304"/>
      <c r="II191" s="304"/>
      <c r="IJ191" s="304"/>
      <c r="IK191" s="304"/>
      <c r="IL191" s="304"/>
      <c r="IM191" s="304"/>
      <c r="IN191" s="304"/>
      <c r="IO191" s="304"/>
      <c r="IP191" s="304"/>
      <c r="IQ191" s="304"/>
      <c r="IR191" s="304"/>
      <c r="IS191" s="304"/>
      <c r="IT191" s="304"/>
      <c r="IU191" s="304"/>
      <c r="IV191" s="304"/>
    </row>
    <row r="192" spans="1:256" ht="23.25">
      <c r="A192" s="339" t="s">
        <v>309</v>
      </c>
      <c r="B192" s="354" t="s">
        <v>310</v>
      </c>
      <c r="C192" s="355">
        <f t="shared" si="30"/>
        <v>0.02727272727272727</v>
      </c>
      <c r="D192" s="356"/>
      <c r="E192" s="343">
        <v>15000</v>
      </c>
      <c r="F192" s="344"/>
      <c r="G192" s="376">
        <f t="shared" si="29"/>
        <v>1</v>
      </c>
      <c r="H192" s="377">
        <f t="shared" si="31"/>
        <v>15000</v>
      </c>
      <c r="I192" s="377">
        <v>12000</v>
      </c>
      <c r="J192" s="376">
        <f t="shared" si="0"/>
        <v>0.2</v>
      </c>
      <c r="K192" s="348">
        <v>3000</v>
      </c>
      <c r="M192" s="174">
        <f t="shared" si="1"/>
        <v>3000</v>
      </c>
      <c r="O192" s="144"/>
      <c r="FH192" s="304"/>
      <c r="FI192" s="304"/>
      <c r="FJ192" s="304"/>
      <c r="FK192" s="304"/>
      <c r="FL192" s="304"/>
      <c r="FM192" s="304"/>
      <c r="FN192" s="304"/>
      <c r="FO192" s="304"/>
      <c r="FP192" s="304"/>
      <c r="FQ192" s="304"/>
      <c r="FR192" s="304"/>
      <c r="FS192" s="304"/>
      <c r="FT192" s="304"/>
      <c r="FU192" s="304"/>
      <c r="FV192" s="304"/>
      <c r="FW192" s="304"/>
      <c r="FX192" s="304"/>
      <c r="FY192" s="304"/>
      <c r="FZ192" s="304"/>
      <c r="GA192" s="304"/>
      <c r="GB192" s="304"/>
      <c r="GC192" s="304"/>
      <c r="GD192" s="304"/>
      <c r="GE192" s="304"/>
      <c r="GF192" s="304"/>
      <c r="GG192" s="304"/>
      <c r="GH192" s="304"/>
      <c r="GI192" s="304"/>
      <c r="GJ192" s="304"/>
      <c r="GK192" s="304"/>
      <c r="GL192" s="304"/>
      <c r="GM192" s="304"/>
      <c r="GN192" s="304"/>
      <c r="GO192" s="304"/>
      <c r="GP192" s="304"/>
      <c r="GQ192" s="304"/>
      <c r="GR192" s="304"/>
      <c r="GS192" s="304"/>
      <c r="GT192" s="304"/>
      <c r="GU192" s="304"/>
      <c r="GV192" s="304"/>
      <c r="GW192" s="304"/>
      <c r="GX192" s="304"/>
      <c r="GY192" s="304"/>
      <c r="GZ192" s="304"/>
      <c r="HA192" s="304"/>
      <c r="HB192" s="304"/>
      <c r="HC192" s="304"/>
      <c r="HD192" s="304"/>
      <c r="HE192" s="304"/>
      <c r="HF192" s="304"/>
      <c r="HG192" s="304"/>
      <c r="HH192" s="304"/>
      <c r="HI192" s="304"/>
      <c r="HJ192" s="304"/>
      <c r="HK192" s="304"/>
      <c r="HL192" s="304"/>
      <c r="HM192" s="304"/>
      <c r="HN192" s="304"/>
      <c r="HO192" s="304"/>
      <c r="HP192" s="304"/>
      <c r="HQ192" s="304"/>
      <c r="HR192" s="304"/>
      <c r="HS192" s="304"/>
      <c r="HT192" s="304"/>
      <c r="HU192" s="304"/>
      <c r="HV192" s="304"/>
      <c r="HW192" s="304"/>
      <c r="HX192" s="304"/>
      <c r="HY192" s="304"/>
      <c r="HZ192" s="304"/>
      <c r="IA192" s="304"/>
      <c r="IB192" s="304"/>
      <c r="IC192" s="304"/>
      <c r="ID192" s="304"/>
      <c r="IE192" s="304"/>
      <c r="IF192" s="304"/>
      <c r="IG192" s="304"/>
      <c r="IH192" s="304"/>
      <c r="II192" s="304"/>
      <c r="IJ192" s="304"/>
      <c r="IK192" s="304"/>
      <c r="IL192" s="304"/>
      <c r="IM192" s="304"/>
      <c r="IN192" s="304"/>
      <c r="IO192" s="304"/>
      <c r="IP192" s="304"/>
      <c r="IQ192" s="304"/>
      <c r="IR192" s="304"/>
      <c r="IS192" s="304"/>
      <c r="IT192" s="304"/>
      <c r="IU192" s="304"/>
      <c r="IV192" s="304"/>
    </row>
    <row r="193" spans="1:256" ht="23.25">
      <c r="A193" s="339" t="s">
        <v>311</v>
      </c>
      <c r="B193" s="354" t="s">
        <v>312</v>
      </c>
      <c r="C193" s="355">
        <f t="shared" si="30"/>
        <v>0.012727272727272728</v>
      </c>
      <c r="D193" s="356"/>
      <c r="E193" s="343">
        <v>7000</v>
      </c>
      <c r="F193" s="344"/>
      <c r="G193" s="376">
        <f t="shared" si="29"/>
        <v>1</v>
      </c>
      <c r="H193" s="377">
        <f t="shared" si="31"/>
        <v>7000</v>
      </c>
      <c r="I193" s="377">
        <v>7000</v>
      </c>
      <c r="J193" s="376">
        <f t="shared" si="0"/>
        <v>0</v>
      </c>
      <c r="K193" s="348">
        <v>0</v>
      </c>
      <c r="M193" s="174">
        <f t="shared" si="1"/>
        <v>0</v>
      </c>
      <c r="O193" s="144"/>
      <c r="FH193" s="304"/>
      <c r="FI193" s="304"/>
      <c r="FJ193" s="304"/>
      <c r="FK193" s="304"/>
      <c r="FL193" s="304"/>
      <c r="FM193" s="304"/>
      <c r="FN193" s="304"/>
      <c r="FO193" s="304"/>
      <c r="FP193" s="304"/>
      <c r="FQ193" s="304"/>
      <c r="FR193" s="304"/>
      <c r="FS193" s="304"/>
      <c r="FT193" s="304"/>
      <c r="FU193" s="304"/>
      <c r="FV193" s="304"/>
      <c r="FW193" s="304"/>
      <c r="FX193" s="304"/>
      <c r="FY193" s="304"/>
      <c r="FZ193" s="304"/>
      <c r="GA193" s="304"/>
      <c r="GB193" s="304"/>
      <c r="GC193" s="304"/>
      <c r="GD193" s="304"/>
      <c r="GE193" s="304"/>
      <c r="GF193" s="304"/>
      <c r="GG193" s="304"/>
      <c r="GH193" s="304"/>
      <c r="GI193" s="304"/>
      <c r="GJ193" s="304"/>
      <c r="GK193" s="304"/>
      <c r="GL193" s="304"/>
      <c r="GM193" s="304"/>
      <c r="GN193" s="304"/>
      <c r="GO193" s="304"/>
      <c r="GP193" s="304"/>
      <c r="GQ193" s="304"/>
      <c r="GR193" s="304"/>
      <c r="GS193" s="304"/>
      <c r="GT193" s="304"/>
      <c r="GU193" s="304"/>
      <c r="GV193" s="304"/>
      <c r="GW193" s="304"/>
      <c r="GX193" s="304"/>
      <c r="GY193" s="304"/>
      <c r="GZ193" s="304"/>
      <c r="HA193" s="304"/>
      <c r="HB193" s="304"/>
      <c r="HC193" s="304"/>
      <c r="HD193" s="304"/>
      <c r="HE193" s="304"/>
      <c r="HF193" s="304"/>
      <c r="HG193" s="304"/>
      <c r="HH193" s="304"/>
      <c r="HI193" s="304"/>
      <c r="HJ193" s="304"/>
      <c r="HK193" s="304"/>
      <c r="HL193" s="304"/>
      <c r="HM193" s="304"/>
      <c r="HN193" s="304"/>
      <c r="HO193" s="304"/>
      <c r="HP193" s="304"/>
      <c r="HQ193" s="304"/>
      <c r="HR193" s="304"/>
      <c r="HS193" s="304"/>
      <c r="HT193" s="304"/>
      <c r="HU193" s="304"/>
      <c r="HV193" s="304"/>
      <c r="HW193" s="304"/>
      <c r="HX193" s="304"/>
      <c r="HY193" s="304"/>
      <c r="HZ193" s="304"/>
      <c r="IA193" s="304"/>
      <c r="IB193" s="304"/>
      <c r="IC193" s="304"/>
      <c r="ID193" s="304"/>
      <c r="IE193" s="304"/>
      <c r="IF193" s="304"/>
      <c r="IG193" s="304"/>
      <c r="IH193" s="304"/>
      <c r="II193" s="304"/>
      <c r="IJ193" s="304"/>
      <c r="IK193" s="304"/>
      <c r="IL193" s="304"/>
      <c r="IM193" s="304"/>
      <c r="IN193" s="304"/>
      <c r="IO193" s="304"/>
      <c r="IP193" s="304"/>
      <c r="IQ193" s="304"/>
      <c r="IR193" s="304"/>
      <c r="IS193" s="304"/>
      <c r="IT193" s="304"/>
      <c r="IU193" s="304"/>
      <c r="IV193" s="304"/>
    </row>
    <row r="194" spans="1:256" ht="23.25">
      <c r="A194" s="339" t="s">
        <v>313</v>
      </c>
      <c r="B194" s="354" t="s">
        <v>314</v>
      </c>
      <c r="C194" s="355">
        <f t="shared" si="30"/>
        <v>0.02727272727272727</v>
      </c>
      <c r="D194" s="356"/>
      <c r="E194" s="343">
        <v>15000</v>
      </c>
      <c r="F194" s="344"/>
      <c r="G194" s="376">
        <f t="shared" si="29"/>
        <v>1</v>
      </c>
      <c r="H194" s="377">
        <f t="shared" si="31"/>
        <v>15000</v>
      </c>
      <c r="I194" s="377">
        <v>15000</v>
      </c>
      <c r="J194" s="376">
        <f t="shared" si="0"/>
        <v>0</v>
      </c>
      <c r="K194" s="348">
        <v>0</v>
      </c>
      <c r="M194" s="174">
        <f t="shared" si="1"/>
        <v>0</v>
      </c>
      <c r="O194" s="144"/>
      <c r="FH194" s="304"/>
      <c r="FI194" s="304"/>
      <c r="FJ194" s="304"/>
      <c r="FK194" s="304"/>
      <c r="FL194" s="304"/>
      <c r="FM194" s="304"/>
      <c r="FN194" s="304"/>
      <c r="FO194" s="304"/>
      <c r="FP194" s="304"/>
      <c r="FQ194" s="304"/>
      <c r="FR194" s="304"/>
      <c r="FS194" s="304"/>
      <c r="FT194" s="304"/>
      <c r="FU194" s="304"/>
      <c r="FV194" s="304"/>
      <c r="FW194" s="304"/>
      <c r="FX194" s="304"/>
      <c r="FY194" s="304"/>
      <c r="FZ194" s="304"/>
      <c r="GA194" s="304"/>
      <c r="GB194" s="304"/>
      <c r="GC194" s="304"/>
      <c r="GD194" s="304"/>
      <c r="GE194" s="304"/>
      <c r="GF194" s="304"/>
      <c r="GG194" s="304"/>
      <c r="GH194" s="304"/>
      <c r="GI194" s="304"/>
      <c r="GJ194" s="304"/>
      <c r="GK194" s="304"/>
      <c r="GL194" s="304"/>
      <c r="GM194" s="304"/>
      <c r="GN194" s="304"/>
      <c r="GO194" s="304"/>
      <c r="GP194" s="304"/>
      <c r="GQ194" s="304"/>
      <c r="GR194" s="304"/>
      <c r="GS194" s="304"/>
      <c r="GT194" s="304"/>
      <c r="GU194" s="304"/>
      <c r="GV194" s="304"/>
      <c r="GW194" s="304"/>
      <c r="GX194" s="304"/>
      <c r="GY194" s="304"/>
      <c r="GZ194" s="304"/>
      <c r="HA194" s="304"/>
      <c r="HB194" s="304"/>
      <c r="HC194" s="304"/>
      <c r="HD194" s="304"/>
      <c r="HE194" s="304"/>
      <c r="HF194" s="304"/>
      <c r="HG194" s="304"/>
      <c r="HH194" s="304"/>
      <c r="HI194" s="304"/>
      <c r="HJ194" s="304"/>
      <c r="HK194" s="304"/>
      <c r="HL194" s="304"/>
      <c r="HM194" s="304"/>
      <c r="HN194" s="304"/>
      <c r="HO194" s="304"/>
      <c r="HP194" s="304"/>
      <c r="HQ194" s="304"/>
      <c r="HR194" s="304"/>
      <c r="HS194" s="304"/>
      <c r="HT194" s="304"/>
      <c r="HU194" s="304"/>
      <c r="HV194" s="304"/>
      <c r="HW194" s="304"/>
      <c r="HX194" s="304"/>
      <c r="HY194" s="304"/>
      <c r="HZ194" s="304"/>
      <c r="IA194" s="304"/>
      <c r="IB194" s="304"/>
      <c r="IC194" s="304"/>
      <c r="ID194" s="304"/>
      <c r="IE194" s="304"/>
      <c r="IF194" s="304"/>
      <c r="IG194" s="304"/>
      <c r="IH194" s="304"/>
      <c r="II194" s="304"/>
      <c r="IJ194" s="304"/>
      <c r="IK194" s="304"/>
      <c r="IL194" s="304"/>
      <c r="IM194" s="304"/>
      <c r="IN194" s="304"/>
      <c r="IO194" s="304"/>
      <c r="IP194" s="304"/>
      <c r="IQ194" s="304"/>
      <c r="IR194" s="304"/>
      <c r="IS194" s="304"/>
      <c r="IT194" s="304"/>
      <c r="IU194" s="304"/>
      <c r="IV194" s="304"/>
    </row>
    <row r="195" spans="1:256" ht="23.25">
      <c r="A195" s="339" t="s">
        <v>315</v>
      </c>
      <c r="B195" s="354" t="s">
        <v>316</v>
      </c>
      <c r="C195" s="355">
        <f t="shared" si="30"/>
        <v>0.012727272727272728</v>
      </c>
      <c r="D195" s="356"/>
      <c r="E195" s="343">
        <v>7000</v>
      </c>
      <c r="F195" s="344"/>
      <c r="G195" s="376">
        <f t="shared" si="29"/>
        <v>1</v>
      </c>
      <c r="H195" s="377">
        <f t="shared" si="31"/>
        <v>7000</v>
      </c>
      <c r="I195" s="377">
        <v>7000</v>
      </c>
      <c r="J195" s="376">
        <f t="shared" si="0"/>
        <v>0</v>
      </c>
      <c r="K195" s="348">
        <v>0</v>
      </c>
      <c r="M195" s="174">
        <f t="shared" si="1"/>
        <v>0</v>
      </c>
      <c r="O195" s="144"/>
      <c r="FH195" s="304"/>
      <c r="FI195" s="304"/>
      <c r="FJ195" s="304"/>
      <c r="FK195" s="304"/>
      <c r="FL195" s="304"/>
      <c r="FM195" s="304"/>
      <c r="FN195" s="304"/>
      <c r="FO195" s="304"/>
      <c r="FP195" s="304"/>
      <c r="FQ195" s="304"/>
      <c r="FR195" s="304"/>
      <c r="FS195" s="304"/>
      <c r="FT195" s="304"/>
      <c r="FU195" s="304"/>
      <c r="FV195" s="304"/>
      <c r="FW195" s="304"/>
      <c r="FX195" s="304"/>
      <c r="FY195" s="304"/>
      <c r="FZ195" s="304"/>
      <c r="GA195" s="304"/>
      <c r="GB195" s="304"/>
      <c r="GC195" s="304"/>
      <c r="GD195" s="304"/>
      <c r="GE195" s="304"/>
      <c r="GF195" s="304"/>
      <c r="GG195" s="304"/>
      <c r="GH195" s="304"/>
      <c r="GI195" s="304"/>
      <c r="GJ195" s="304"/>
      <c r="GK195" s="304"/>
      <c r="GL195" s="304"/>
      <c r="GM195" s="304"/>
      <c r="GN195" s="304"/>
      <c r="GO195" s="304"/>
      <c r="GP195" s="304"/>
      <c r="GQ195" s="304"/>
      <c r="GR195" s="304"/>
      <c r="GS195" s="304"/>
      <c r="GT195" s="304"/>
      <c r="GU195" s="304"/>
      <c r="GV195" s="304"/>
      <c r="GW195" s="304"/>
      <c r="GX195" s="304"/>
      <c r="GY195" s="304"/>
      <c r="GZ195" s="304"/>
      <c r="HA195" s="304"/>
      <c r="HB195" s="304"/>
      <c r="HC195" s="304"/>
      <c r="HD195" s="304"/>
      <c r="HE195" s="304"/>
      <c r="HF195" s="304"/>
      <c r="HG195" s="304"/>
      <c r="HH195" s="304"/>
      <c r="HI195" s="304"/>
      <c r="HJ195" s="304"/>
      <c r="HK195" s="304"/>
      <c r="HL195" s="304"/>
      <c r="HM195" s="304"/>
      <c r="HN195" s="304"/>
      <c r="HO195" s="304"/>
      <c r="HP195" s="304"/>
      <c r="HQ195" s="304"/>
      <c r="HR195" s="304"/>
      <c r="HS195" s="304"/>
      <c r="HT195" s="304"/>
      <c r="HU195" s="304"/>
      <c r="HV195" s="304"/>
      <c r="HW195" s="304"/>
      <c r="HX195" s="304"/>
      <c r="HY195" s="304"/>
      <c r="HZ195" s="304"/>
      <c r="IA195" s="304"/>
      <c r="IB195" s="304"/>
      <c r="IC195" s="304"/>
      <c r="ID195" s="304"/>
      <c r="IE195" s="304"/>
      <c r="IF195" s="304"/>
      <c r="IG195" s="304"/>
      <c r="IH195" s="304"/>
      <c r="II195" s="304"/>
      <c r="IJ195" s="304"/>
      <c r="IK195" s="304"/>
      <c r="IL195" s="304"/>
      <c r="IM195" s="304"/>
      <c r="IN195" s="304"/>
      <c r="IO195" s="304"/>
      <c r="IP195" s="304"/>
      <c r="IQ195" s="304"/>
      <c r="IR195" s="304"/>
      <c r="IS195" s="304"/>
      <c r="IT195" s="304"/>
      <c r="IU195" s="304"/>
      <c r="IV195" s="304"/>
    </row>
    <row r="196" spans="1:256" ht="23.25">
      <c r="A196" s="339" t="s">
        <v>317</v>
      </c>
      <c r="B196" s="354" t="s">
        <v>318</v>
      </c>
      <c r="C196" s="355">
        <f t="shared" si="30"/>
        <v>0.05090909090909091</v>
      </c>
      <c r="D196" s="356"/>
      <c r="E196" s="343">
        <v>28000</v>
      </c>
      <c r="F196" s="344"/>
      <c r="G196" s="376">
        <f t="shared" si="29"/>
        <v>1</v>
      </c>
      <c r="H196" s="377">
        <f t="shared" si="31"/>
        <v>28000</v>
      </c>
      <c r="I196" s="377">
        <v>11200</v>
      </c>
      <c r="J196" s="376">
        <f t="shared" si="0"/>
        <v>0.6</v>
      </c>
      <c r="K196" s="348">
        <v>16800</v>
      </c>
      <c r="M196" s="174">
        <f t="shared" si="1"/>
        <v>16800</v>
      </c>
      <c r="O196" s="144"/>
      <c r="FH196" s="304"/>
      <c r="FI196" s="304"/>
      <c r="FJ196" s="304"/>
      <c r="FK196" s="304"/>
      <c r="FL196" s="304"/>
      <c r="FM196" s="304"/>
      <c r="FN196" s="304"/>
      <c r="FO196" s="304"/>
      <c r="FP196" s="304"/>
      <c r="FQ196" s="304"/>
      <c r="FR196" s="304"/>
      <c r="FS196" s="304"/>
      <c r="FT196" s="304"/>
      <c r="FU196" s="304"/>
      <c r="FV196" s="304"/>
      <c r="FW196" s="304"/>
      <c r="FX196" s="304"/>
      <c r="FY196" s="304"/>
      <c r="FZ196" s="304"/>
      <c r="GA196" s="304"/>
      <c r="GB196" s="304"/>
      <c r="GC196" s="304"/>
      <c r="GD196" s="304"/>
      <c r="GE196" s="304"/>
      <c r="GF196" s="304"/>
      <c r="GG196" s="304"/>
      <c r="GH196" s="304"/>
      <c r="GI196" s="304"/>
      <c r="GJ196" s="304"/>
      <c r="GK196" s="304"/>
      <c r="GL196" s="304"/>
      <c r="GM196" s="304"/>
      <c r="GN196" s="304"/>
      <c r="GO196" s="304"/>
      <c r="GP196" s="304"/>
      <c r="GQ196" s="304"/>
      <c r="GR196" s="304"/>
      <c r="GS196" s="304"/>
      <c r="GT196" s="304"/>
      <c r="GU196" s="304"/>
      <c r="GV196" s="304"/>
      <c r="GW196" s="304"/>
      <c r="GX196" s="304"/>
      <c r="GY196" s="304"/>
      <c r="GZ196" s="304"/>
      <c r="HA196" s="304"/>
      <c r="HB196" s="304"/>
      <c r="HC196" s="304"/>
      <c r="HD196" s="304"/>
      <c r="HE196" s="304"/>
      <c r="HF196" s="304"/>
      <c r="HG196" s="304"/>
      <c r="HH196" s="304"/>
      <c r="HI196" s="304"/>
      <c r="HJ196" s="304"/>
      <c r="HK196" s="304"/>
      <c r="HL196" s="304"/>
      <c r="HM196" s="304"/>
      <c r="HN196" s="304"/>
      <c r="HO196" s="304"/>
      <c r="HP196" s="304"/>
      <c r="HQ196" s="304"/>
      <c r="HR196" s="304"/>
      <c r="HS196" s="304"/>
      <c r="HT196" s="304"/>
      <c r="HU196" s="304"/>
      <c r="HV196" s="304"/>
      <c r="HW196" s="304"/>
      <c r="HX196" s="304"/>
      <c r="HY196" s="304"/>
      <c r="HZ196" s="304"/>
      <c r="IA196" s="304"/>
      <c r="IB196" s="304"/>
      <c r="IC196" s="304"/>
      <c r="ID196" s="304"/>
      <c r="IE196" s="304"/>
      <c r="IF196" s="304"/>
      <c r="IG196" s="304"/>
      <c r="IH196" s="304"/>
      <c r="II196" s="304"/>
      <c r="IJ196" s="304"/>
      <c r="IK196" s="304"/>
      <c r="IL196" s="304"/>
      <c r="IM196" s="304"/>
      <c r="IN196" s="304"/>
      <c r="IO196" s="304"/>
      <c r="IP196" s="304"/>
      <c r="IQ196" s="304"/>
      <c r="IR196" s="304"/>
      <c r="IS196" s="304"/>
      <c r="IT196" s="304"/>
      <c r="IU196" s="304"/>
      <c r="IV196" s="304"/>
    </row>
    <row r="197" spans="1:256" ht="23.25">
      <c r="A197" s="339" t="s">
        <v>319</v>
      </c>
      <c r="B197" s="354" t="s">
        <v>320</v>
      </c>
      <c r="C197" s="355">
        <f t="shared" si="30"/>
        <v>0.012727272727272728</v>
      </c>
      <c r="D197" s="356"/>
      <c r="E197" s="343">
        <v>7000</v>
      </c>
      <c r="F197" s="344"/>
      <c r="G197" s="376">
        <f t="shared" si="29"/>
        <v>1</v>
      </c>
      <c r="H197" s="377">
        <f t="shared" si="31"/>
        <v>7000</v>
      </c>
      <c r="I197" s="377">
        <v>7000</v>
      </c>
      <c r="J197" s="376">
        <f t="shared" si="0"/>
        <v>0</v>
      </c>
      <c r="K197" s="348">
        <v>0</v>
      </c>
      <c r="M197" s="174">
        <f t="shared" si="1"/>
        <v>0</v>
      </c>
      <c r="O197" s="144"/>
      <c r="FH197" s="304"/>
      <c r="FI197" s="304"/>
      <c r="FJ197" s="304"/>
      <c r="FK197" s="304"/>
      <c r="FL197" s="304"/>
      <c r="FM197" s="304"/>
      <c r="FN197" s="304"/>
      <c r="FO197" s="304"/>
      <c r="FP197" s="304"/>
      <c r="FQ197" s="304"/>
      <c r="FR197" s="304"/>
      <c r="FS197" s="304"/>
      <c r="FT197" s="304"/>
      <c r="FU197" s="304"/>
      <c r="FV197" s="304"/>
      <c r="FW197" s="304"/>
      <c r="FX197" s="304"/>
      <c r="FY197" s="304"/>
      <c r="FZ197" s="304"/>
      <c r="GA197" s="304"/>
      <c r="GB197" s="304"/>
      <c r="GC197" s="304"/>
      <c r="GD197" s="304"/>
      <c r="GE197" s="304"/>
      <c r="GF197" s="304"/>
      <c r="GG197" s="304"/>
      <c r="GH197" s="304"/>
      <c r="GI197" s="304"/>
      <c r="GJ197" s="304"/>
      <c r="GK197" s="304"/>
      <c r="GL197" s="304"/>
      <c r="GM197" s="304"/>
      <c r="GN197" s="304"/>
      <c r="GO197" s="304"/>
      <c r="GP197" s="304"/>
      <c r="GQ197" s="304"/>
      <c r="GR197" s="304"/>
      <c r="GS197" s="304"/>
      <c r="GT197" s="304"/>
      <c r="GU197" s="304"/>
      <c r="GV197" s="304"/>
      <c r="GW197" s="304"/>
      <c r="GX197" s="304"/>
      <c r="GY197" s="304"/>
      <c r="GZ197" s="304"/>
      <c r="HA197" s="304"/>
      <c r="HB197" s="304"/>
      <c r="HC197" s="304"/>
      <c r="HD197" s="304"/>
      <c r="HE197" s="304"/>
      <c r="HF197" s="304"/>
      <c r="HG197" s="304"/>
      <c r="HH197" s="304"/>
      <c r="HI197" s="304"/>
      <c r="HJ197" s="304"/>
      <c r="HK197" s="304"/>
      <c r="HL197" s="304"/>
      <c r="HM197" s="304"/>
      <c r="HN197" s="304"/>
      <c r="HO197" s="304"/>
      <c r="HP197" s="304"/>
      <c r="HQ197" s="304"/>
      <c r="HR197" s="304"/>
      <c r="HS197" s="304"/>
      <c r="HT197" s="304"/>
      <c r="HU197" s="304"/>
      <c r="HV197" s="304"/>
      <c r="HW197" s="304"/>
      <c r="HX197" s="304"/>
      <c r="HY197" s="304"/>
      <c r="HZ197" s="304"/>
      <c r="IA197" s="304"/>
      <c r="IB197" s="304"/>
      <c r="IC197" s="304"/>
      <c r="ID197" s="304"/>
      <c r="IE197" s="304"/>
      <c r="IF197" s="304"/>
      <c r="IG197" s="304"/>
      <c r="IH197" s="304"/>
      <c r="II197" s="304"/>
      <c r="IJ197" s="304"/>
      <c r="IK197" s="304"/>
      <c r="IL197" s="304"/>
      <c r="IM197" s="304"/>
      <c r="IN197" s="304"/>
      <c r="IO197" s="304"/>
      <c r="IP197" s="304"/>
      <c r="IQ197" s="304"/>
      <c r="IR197" s="304"/>
      <c r="IS197" s="304"/>
      <c r="IT197" s="304"/>
      <c r="IU197" s="304"/>
      <c r="IV197" s="304"/>
    </row>
    <row r="198" spans="1:256" ht="23.25">
      <c r="A198" s="339" t="s">
        <v>321</v>
      </c>
      <c r="B198" s="354" t="s">
        <v>322</v>
      </c>
      <c r="C198" s="355">
        <f t="shared" si="30"/>
        <v>0.0669090909090909</v>
      </c>
      <c r="D198" s="356"/>
      <c r="E198" s="343">
        <v>36800</v>
      </c>
      <c r="F198" s="344"/>
      <c r="G198" s="376">
        <f t="shared" si="29"/>
        <v>1</v>
      </c>
      <c r="H198" s="377">
        <f t="shared" si="31"/>
        <v>36800</v>
      </c>
      <c r="I198" s="377">
        <v>36800</v>
      </c>
      <c r="J198" s="376">
        <f t="shared" si="0"/>
        <v>0</v>
      </c>
      <c r="K198" s="348">
        <v>0</v>
      </c>
      <c r="M198" s="174">
        <f t="shared" si="1"/>
        <v>0</v>
      </c>
      <c r="O198" s="144"/>
      <c r="FH198" s="304"/>
      <c r="FI198" s="304"/>
      <c r="FJ198" s="304"/>
      <c r="FK198" s="304"/>
      <c r="FL198" s="304"/>
      <c r="FM198" s="304"/>
      <c r="FN198" s="304"/>
      <c r="FO198" s="304"/>
      <c r="FP198" s="304"/>
      <c r="FQ198" s="304"/>
      <c r="FR198" s="304"/>
      <c r="FS198" s="304"/>
      <c r="FT198" s="304"/>
      <c r="FU198" s="304"/>
      <c r="FV198" s="304"/>
      <c r="FW198" s="304"/>
      <c r="FX198" s="304"/>
      <c r="FY198" s="304"/>
      <c r="FZ198" s="304"/>
      <c r="GA198" s="304"/>
      <c r="GB198" s="304"/>
      <c r="GC198" s="304"/>
      <c r="GD198" s="304"/>
      <c r="GE198" s="304"/>
      <c r="GF198" s="304"/>
      <c r="GG198" s="304"/>
      <c r="GH198" s="304"/>
      <c r="GI198" s="304"/>
      <c r="GJ198" s="304"/>
      <c r="GK198" s="304"/>
      <c r="GL198" s="304"/>
      <c r="GM198" s="304"/>
      <c r="GN198" s="304"/>
      <c r="GO198" s="304"/>
      <c r="GP198" s="304"/>
      <c r="GQ198" s="304"/>
      <c r="GR198" s="304"/>
      <c r="GS198" s="304"/>
      <c r="GT198" s="304"/>
      <c r="GU198" s="304"/>
      <c r="GV198" s="304"/>
      <c r="GW198" s="304"/>
      <c r="GX198" s="304"/>
      <c r="GY198" s="304"/>
      <c r="GZ198" s="304"/>
      <c r="HA198" s="304"/>
      <c r="HB198" s="304"/>
      <c r="HC198" s="304"/>
      <c r="HD198" s="304"/>
      <c r="HE198" s="304"/>
      <c r="HF198" s="304"/>
      <c r="HG198" s="304"/>
      <c r="HH198" s="304"/>
      <c r="HI198" s="304"/>
      <c r="HJ198" s="304"/>
      <c r="HK198" s="304"/>
      <c r="HL198" s="304"/>
      <c r="HM198" s="304"/>
      <c r="HN198" s="304"/>
      <c r="HO198" s="304"/>
      <c r="HP198" s="304"/>
      <c r="HQ198" s="304"/>
      <c r="HR198" s="304"/>
      <c r="HS198" s="304"/>
      <c r="HT198" s="304"/>
      <c r="HU198" s="304"/>
      <c r="HV198" s="304"/>
      <c r="HW198" s="304"/>
      <c r="HX198" s="304"/>
      <c r="HY198" s="304"/>
      <c r="HZ198" s="304"/>
      <c r="IA198" s="304"/>
      <c r="IB198" s="304"/>
      <c r="IC198" s="304"/>
      <c r="ID198" s="304"/>
      <c r="IE198" s="304"/>
      <c r="IF198" s="304"/>
      <c r="IG198" s="304"/>
      <c r="IH198" s="304"/>
      <c r="II198" s="304"/>
      <c r="IJ198" s="304"/>
      <c r="IK198" s="304"/>
      <c r="IL198" s="304"/>
      <c r="IM198" s="304"/>
      <c r="IN198" s="304"/>
      <c r="IO198" s="304"/>
      <c r="IP198" s="304"/>
      <c r="IQ198" s="304"/>
      <c r="IR198" s="304"/>
      <c r="IS198" s="304"/>
      <c r="IT198" s="304"/>
      <c r="IU198" s="304"/>
      <c r="IV198" s="304"/>
    </row>
    <row r="199" spans="1:256" ht="23.25">
      <c r="A199" s="339" t="s">
        <v>323</v>
      </c>
      <c r="B199" s="354" t="s">
        <v>324</v>
      </c>
      <c r="C199" s="355">
        <f t="shared" si="30"/>
        <v>0.04</v>
      </c>
      <c r="D199" s="356"/>
      <c r="E199" s="343">
        <v>22000</v>
      </c>
      <c r="F199" s="344"/>
      <c r="G199" s="376">
        <f t="shared" si="29"/>
        <v>1</v>
      </c>
      <c r="H199" s="377">
        <f t="shared" si="31"/>
        <v>22000</v>
      </c>
      <c r="I199" s="377">
        <v>22000</v>
      </c>
      <c r="J199" s="376">
        <f t="shared" si="0"/>
        <v>0</v>
      </c>
      <c r="K199" s="348">
        <v>0</v>
      </c>
      <c r="M199" s="174">
        <f t="shared" si="1"/>
        <v>0</v>
      </c>
      <c r="O199" s="144"/>
      <c r="FH199" s="304"/>
      <c r="FI199" s="304"/>
      <c r="FJ199" s="304"/>
      <c r="FK199" s="304"/>
      <c r="FL199" s="304"/>
      <c r="FM199" s="304"/>
      <c r="FN199" s="304"/>
      <c r="FO199" s="304"/>
      <c r="FP199" s="304"/>
      <c r="FQ199" s="304"/>
      <c r="FR199" s="304"/>
      <c r="FS199" s="304"/>
      <c r="FT199" s="304"/>
      <c r="FU199" s="304"/>
      <c r="FV199" s="304"/>
      <c r="FW199" s="304"/>
      <c r="FX199" s="304"/>
      <c r="FY199" s="304"/>
      <c r="FZ199" s="304"/>
      <c r="GA199" s="304"/>
      <c r="GB199" s="304"/>
      <c r="GC199" s="304"/>
      <c r="GD199" s="304"/>
      <c r="GE199" s="304"/>
      <c r="GF199" s="304"/>
      <c r="GG199" s="304"/>
      <c r="GH199" s="304"/>
      <c r="GI199" s="304"/>
      <c r="GJ199" s="304"/>
      <c r="GK199" s="304"/>
      <c r="GL199" s="304"/>
      <c r="GM199" s="304"/>
      <c r="GN199" s="304"/>
      <c r="GO199" s="304"/>
      <c r="GP199" s="304"/>
      <c r="GQ199" s="304"/>
      <c r="GR199" s="304"/>
      <c r="GS199" s="304"/>
      <c r="GT199" s="304"/>
      <c r="GU199" s="304"/>
      <c r="GV199" s="304"/>
      <c r="GW199" s="304"/>
      <c r="GX199" s="304"/>
      <c r="GY199" s="304"/>
      <c r="GZ199" s="304"/>
      <c r="HA199" s="304"/>
      <c r="HB199" s="304"/>
      <c r="HC199" s="304"/>
      <c r="HD199" s="304"/>
      <c r="HE199" s="304"/>
      <c r="HF199" s="304"/>
      <c r="HG199" s="304"/>
      <c r="HH199" s="304"/>
      <c r="HI199" s="304"/>
      <c r="HJ199" s="304"/>
      <c r="HK199" s="304"/>
      <c r="HL199" s="304"/>
      <c r="HM199" s="304"/>
      <c r="HN199" s="304"/>
      <c r="HO199" s="304"/>
      <c r="HP199" s="304"/>
      <c r="HQ199" s="304"/>
      <c r="HR199" s="304"/>
      <c r="HS199" s="304"/>
      <c r="HT199" s="304"/>
      <c r="HU199" s="304"/>
      <c r="HV199" s="304"/>
      <c r="HW199" s="304"/>
      <c r="HX199" s="304"/>
      <c r="HY199" s="304"/>
      <c r="HZ199" s="304"/>
      <c r="IA199" s="304"/>
      <c r="IB199" s="304"/>
      <c r="IC199" s="304"/>
      <c r="ID199" s="304"/>
      <c r="IE199" s="304"/>
      <c r="IF199" s="304"/>
      <c r="IG199" s="304"/>
      <c r="IH199" s="304"/>
      <c r="II199" s="304"/>
      <c r="IJ199" s="304"/>
      <c r="IK199" s="304"/>
      <c r="IL199" s="304"/>
      <c r="IM199" s="304"/>
      <c r="IN199" s="304"/>
      <c r="IO199" s="304"/>
      <c r="IP199" s="304"/>
      <c r="IQ199" s="304"/>
      <c r="IR199" s="304"/>
      <c r="IS199" s="304"/>
      <c r="IT199" s="304"/>
      <c r="IU199" s="304"/>
      <c r="IV199" s="304"/>
    </row>
    <row r="200" spans="1:256" ht="23.25">
      <c r="A200" s="339" t="s">
        <v>325</v>
      </c>
      <c r="B200" s="354" t="s">
        <v>326</v>
      </c>
      <c r="C200" s="355">
        <f t="shared" si="30"/>
        <v>0.01090909090909091</v>
      </c>
      <c r="D200" s="356"/>
      <c r="E200" s="343">
        <v>6000</v>
      </c>
      <c r="F200" s="344"/>
      <c r="G200" s="376">
        <f t="shared" si="29"/>
        <v>1</v>
      </c>
      <c r="H200" s="377">
        <f t="shared" si="31"/>
        <v>6000</v>
      </c>
      <c r="I200" s="377">
        <v>6000</v>
      </c>
      <c r="J200" s="376">
        <f t="shared" si="0"/>
        <v>0</v>
      </c>
      <c r="K200" s="348">
        <v>0</v>
      </c>
      <c r="M200" s="174">
        <f t="shared" si="1"/>
        <v>0</v>
      </c>
      <c r="O200" s="144"/>
      <c r="FH200" s="304"/>
      <c r="FI200" s="304"/>
      <c r="FJ200" s="304"/>
      <c r="FK200" s="304"/>
      <c r="FL200" s="304"/>
      <c r="FM200" s="304"/>
      <c r="FN200" s="304"/>
      <c r="FO200" s="304"/>
      <c r="FP200" s="304"/>
      <c r="FQ200" s="304"/>
      <c r="FR200" s="304"/>
      <c r="FS200" s="304"/>
      <c r="FT200" s="304"/>
      <c r="FU200" s="304"/>
      <c r="FV200" s="304"/>
      <c r="FW200" s="304"/>
      <c r="FX200" s="304"/>
      <c r="FY200" s="304"/>
      <c r="FZ200" s="304"/>
      <c r="GA200" s="304"/>
      <c r="GB200" s="304"/>
      <c r="GC200" s="304"/>
      <c r="GD200" s="304"/>
      <c r="GE200" s="304"/>
      <c r="GF200" s="304"/>
      <c r="GG200" s="304"/>
      <c r="GH200" s="304"/>
      <c r="GI200" s="304"/>
      <c r="GJ200" s="304"/>
      <c r="GK200" s="304"/>
      <c r="GL200" s="304"/>
      <c r="GM200" s="304"/>
      <c r="GN200" s="304"/>
      <c r="GO200" s="304"/>
      <c r="GP200" s="304"/>
      <c r="GQ200" s="304"/>
      <c r="GR200" s="304"/>
      <c r="GS200" s="304"/>
      <c r="GT200" s="304"/>
      <c r="GU200" s="304"/>
      <c r="GV200" s="304"/>
      <c r="GW200" s="304"/>
      <c r="GX200" s="304"/>
      <c r="GY200" s="304"/>
      <c r="GZ200" s="304"/>
      <c r="HA200" s="304"/>
      <c r="HB200" s="304"/>
      <c r="HC200" s="304"/>
      <c r="HD200" s="304"/>
      <c r="HE200" s="304"/>
      <c r="HF200" s="304"/>
      <c r="HG200" s="304"/>
      <c r="HH200" s="304"/>
      <c r="HI200" s="304"/>
      <c r="HJ200" s="304"/>
      <c r="HK200" s="304"/>
      <c r="HL200" s="304"/>
      <c r="HM200" s="304"/>
      <c r="HN200" s="304"/>
      <c r="HO200" s="304"/>
      <c r="HP200" s="304"/>
      <c r="HQ200" s="304"/>
      <c r="HR200" s="304"/>
      <c r="HS200" s="304"/>
      <c r="HT200" s="304"/>
      <c r="HU200" s="304"/>
      <c r="HV200" s="304"/>
      <c r="HW200" s="304"/>
      <c r="HX200" s="304"/>
      <c r="HY200" s="304"/>
      <c r="HZ200" s="304"/>
      <c r="IA200" s="304"/>
      <c r="IB200" s="304"/>
      <c r="IC200" s="304"/>
      <c r="ID200" s="304"/>
      <c r="IE200" s="304"/>
      <c r="IF200" s="304"/>
      <c r="IG200" s="304"/>
      <c r="IH200" s="304"/>
      <c r="II200" s="304"/>
      <c r="IJ200" s="304"/>
      <c r="IK200" s="304"/>
      <c r="IL200" s="304"/>
      <c r="IM200" s="304"/>
      <c r="IN200" s="304"/>
      <c r="IO200" s="304"/>
      <c r="IP200" s="304"/>
      <c r="IQ200" s="304"/>
      <c r="IR200" s="304"/>
      <c r="IS200" s="304"/>
      <c r="IT200" s="304"/>
      <c r="IU200" s="304"/>
      <c r="IV200" s="304"/>
    </row>
    <row r="201" spans="1:256" ht="23.25">
      <c r="A201" s="339" t="s">
        <v>327</v>
      </c>
      <c r="B201" s="354" t="s">
        <v>328</v>
      </c>
      <c r="C201" s="355">
        <f t="shared" si="30"/>
        <v>0.02727272727272727</v>
      </c>
      <c r="D201" s="356"/>
      <c r="E201" s="343">
        <v>15000</v>
      </c>
      <c r="F201" s="344"/>
      <c r="G201" s="376">
        <f t="shared" si="29"/>
        <v>1</v>
      </c>
      <c r="H201" s="377">
        <f t="shared" si="31"/>
        <v>15000</v>
      </c>
      <c r="I201" s="377">
        <v>0</v>
      </c>
      <c r="J201" s="376">
        <f t="shared" si="0"/>
        <v>1</v>
      </c>
      <c r="K201" s="348">
        <v>15000</v>
      </c>
      <c r="M201" s="174">
        <f t="shared" si="1"/>
        <v>15000</v>
      </c>
      <c r="O201" s="144"/>
      <c r="FH201" s="304"/>
      <c r="FI201" s="304"/>
      <c r="FJ201" s="304"/>
      <c r="FK201" s="304"/>
      <c r="FL201" s="304"/>
      <c r="FM201" s="304"/>
      <c r="FN201" s="304"/>
      <c r="FO201" s="304"/>
      <c r="FP201" s="304"/>
      <c r="FQ201" s="304"/>
      <c r="FR201" s="304"/>
      <c r="FS201" s="304"/>
      <c r="FT201" s="304"/>
      <c r="FU201" s="304"/>
      <c r="FV201" s="304"/>
      <c r="FW201" s="304"/>
      <c r="FX201" s="304"/>
      <c r="FY201" s="304"/>
      <c r="FZ201" s="304"/>
      <c r="GA201" s="304"/>
      <c r="GB201" s="304"/>
      <c r="GC201" s="304"/>
      <c r="GD201" s="304"/>
      <c r="GE201" s="304"/>
      <c r="GF201" s="304"/>
      <c r="GG201" s="304"/>
      <c r="GH201" s="304"/>
      <c r="GI201" s="304"/>
      <c r="GJ201" s="304"/>
      <c r="GK201" s="304"/>
      <c r="GL201" s="304"/>
      <c r="GM201" s="304"/>
      <c r="GN201" s="304"/>
      <c r="GO201" s="304"/>
      <c r="GP201" s="304"/>
      <c r="GQ201" s="304"/>
      <c r="GR201" s="304"/>
      <c r="GS201" s="304"/>
      <c r="GT201" s="304"/>
      <c r="GU201" s="304"/>
      <c r="GV201" s="304"/>
      <c r="GW201" s="304"/>
      <c r="GX201" s="304"/>
      <c r="GY201" s="304"/>
      <c r="GZ201" s="304"/>
      <c r="HA201" s="304"/>
      <c r="HB201" s="304"/>
      <c r="HC201" s="304"/>
      <c r="HD201" s="304"/>
      <c r="HE201" s="304"/>
      <c r="HF201" s="304"/>
      <c r="HG201" s="304"/>
      <c r="HH201" s="304"/>
      <c r="HI201" s="304"/>
      <c r="HJ201" s="304"/>
      <c r="HK201" s="304"/>
      <c r="HL201" s="304"/>
      <c r="HM201" s="304"/>
      <c r="HN201" s="304"/>
      <c r="HO201" s="304"/>
      <c r="HP201" s="304"/>
      <c r="HQ201" s="304"/>
      <c r="HR201" s="304"/>
      <c r="HS201" s="304"/>
      <c r="HT201" s="304"/>
      <c r="HU201" s="304"/>
      <c r="HV201" s="304"/>
      <c r="HW201" s="304"/>
      <c r="HX201" s="304"/>
      <c r="HY201" s="304"/>
      <c r="HZ201" s="304"/>
      <c r="IA201" s="304"/>
      <c r="IB201" s="304"/>
      <c r="IC201" s="304"/>
      <c r="ID201" s="304"/>
      <c r="IE201" s="304"/>
      <c r="IF201" s="304"/>
      <c r="IG201" s="304"/>
      <c r="IH201" s="304"/>
      <c r="II201" s="304"/>
      <c r="IJ201" s="304"/>
      <c r="IK201" s="304"/>
      <c r="IL201" s="304"/>
      <c r="IM201" s="304"/>
      <c r="IN201" s="304"/>
      <c r="IO201" s="304"/>
      <c r="IP201" s="304"/>
      <c r="IQ201" s="304"/>
      <c r="IR201" s="304"/>
      <c r="IS201" s="304"/>
      <c r="IT201" s="304"/>
      <c r="IU201" s="304"/>
      <c r="IV201" s="304"/>
    </row>
    <row r="202" spans="1:256" ht="23.25">
      <c r="A202" s="339" t="s">
        <v>329</v>
      </c>
      <c r="B202" s="354" t="s">
        <v>330</v>
      </c>
      <c r="C202" s="355">
        <f t="shared" si="30"/>
        <v>0.01090909090909091</v>
      </c>
      <c r="D202" s="356"/>
      <c r="E202" s="343">
        <v>6000</v>
      </c>
      <c r="F202" s="344"/>
      <c r="G202" s="376">
        <f t="shared" si="29"/>
        <v>1</v>
      </c>
      <c r="H202" s="377">
        <f t="shared" si="31"/>
        <v>6000</v>
      </c>
      <c r="I202" s="377">
        <v>0</v>
      </c>
      <c r="J202" s="376">
        <f t="shared" si="0"/>
        <v>1</v>
      </c>
      <c r="K202" s="348">
        <v>6000</v>
      </c>
      <c r="M202" s="174">
        <f t="shared" si="1"/>
        <v>6000</v>
      </c>
      <c r="O202" s="144"/>
      <c r="FH202" s="304"/>
      <c r="FI202" s="304"/>
      <c r="FJ202" s="304"/>
      <c r="FK202" s="304"/>
      <c r="FL202" s="304"/>
      <c r="FM202" s="304"/>
      <c r="FN202" s="304"/>
      <c r="FO202" s="304"/>
      <c r="FP202" s="304"/>
      <c r="FQ202" s="304"/>
      <c r="FR202" s="304"/>
      <c r="FS202" s="304"/>
      <c r="FT202" s="304"/>
      <c r="FU202" s="304"/>
      <c r="FV202" s="304"/>
      <c r="FW202" s="304"/>
      <c r="FX202" s="304"/>
      <c r="FY202" s="304"/>
      <c r="FZ202" s="304"/>
      <c r="GA202" s="304"/>
      <c r="GB202" s="304"/>
      <c r="GC202" s="304"/>
      <c r="GD202" s="304"/>
      <c r="GE202" s="304"/>
      <c r="GF202" s="304"/>
      <c r="GG202" s="304"/>
      <c r="GH202" s="304"/>
      <c r="GI202" s="304"/>
      <c r="GJ202" s="304"/>
      <c r="GK202" s="304"/>
      <c r="GL202" s="304"/>
      <c r="GM202" s="304"/>
      <c r="GN202" s="304"/>
      <c r="GO202" s="304"/>
      <c r="GP202" s="304"/>
      <c r="GQ202" s="304"/>
      <c r="GR202" s="304"/>
      <c r="GS202" s="304"/>
      <c r="GT202" s="304"/>
      <c r="GU202" s="304"/>
      <c r="GV202" s="304"/>
      <c r="GW202" s="304"/>
      <c r="GX202" s="304"/>
      <c r="GY202" s="304"/>
      <c r="GZ202" s="304"/>
      <c r="HA202" s="304"/>
      <c r="HB202" s="304"/>
      <c r="HC202" s="304"/>
      <c r="HD202" s="304"/>
      <c r="HE202" s="304"/>
      <c r="HF202" s="304"/>
      <c r="HG202" s="304"/>
      <c r="HH202" s="304"/>
      <c r="HI202" s="304"/>
      <c r="HJ202" s="304"/>
      <c r="HK202" s="304"/>
      <c r="HL202" s="304"/>
      <c r="HM202" s="304"/>
      <c r="HN202" s="304"/>
      <c r="HO202" s="304"/>
      <c r="HP202" s="304"/>
      <c r="HQ202" s="304"/>
      <c r="HR202" s="304"/>
      <c r="HS202" s="304"/>
      <c r="HT202" s="304"/>
      <c r="HU202" s="304"/>
      <c r="HV202" s="304"/>
      <c r="HW202" s="304"/>
      <c r="HX202" s="304"/>
      <c r="HY202" s="304"/>
      <c r="HZ202" s="304"/>
      <c r="IA202" s="304"/>
      <c r="IB202" s="304"/>
      <c r="IC202" s="304"/>
      <c r="ID202" s="304"/>
      <c r="IE202" s="304"/>
      <c r="IF202" s="304"/>
      <c r="IG202" s="304"/>
      <c r="IH202" s="304"/>
      <c r="II202" s="304"/>
      <c r="IJ202" s="304"/>
      <c r="IK202" s="304"/>
      <c r="IL202" s="304"/>
      <c r="IM202" s="304"/>
      <c r="IN202" s="304"/>
      <c r="IO202" s="304"/>
      <c r="IP202" s="304"/>
      <c r="IQ202" s="304"/>
      <c r="IR202" s="304"/>
      <c r="IS202" s="304"/>
      <c r="IT202" s="304"/>
      <c r="IU202" s="304"/>
      <c r="IV202" s="304"/>
    </row>
    <row r="203" spans="1:256" ht="23.25">
      <c r="A203" s="339" t="s">
        <v>331</v>
      </c>
      <c r="B203" s="354" t="s">
        <v>332</v>
      </c>
      <c r="C203" s="355">
        <f t="shared" si="30"/>
        <v>0.05090909090909091</v>
      </c>
      <c r="D203" s="356"/>
      <c r="E203" s="343">
        <v>28000</v>
      </c>
      <c r="F203" s="344"/>
      <c r="G203" s="376">
        <f t="shared" si="29"/>
        <v>1</v>
      </c>
      <c r="H203" s="377">
        <f t="shared" si="31"/>
        <v>28000</v>
      </c>
      <c r="I203" s="377">
        <v>11200</v>
      </c>
      <c r="J203" s="376">
        <f t="shared" si="0"/>
        <v>0.6</v>
      </c>
      <c r="K203" s="348">
        <v>16800</v>
      </c>
      <c r="M203" s="174">
        <f t="shared" si="1"/>
        <v>16800</v>
      </c>
      <c r="O203" s="144"/>
      <c r="FH203" s="304"/>
      <c r="FI203" s="304"/>
      <c r="FJ203" s="304"/>
      <c r="FK203" s="304"/>
      <c r="FL203" s="304"/>
      <c r="FM203" s="304"/>
      <c r="FN203" s="304"/>
      <c r="FO203" s="304"/>
      <c r="FP203" s="304"/>
      <c r="FQ203" s="304"/>
      <c r="FR203" s="304"/>
      <c r="FS203" s="304"/>
      <c r="FT203" s="304"/>
      <c r="FU203" s="304"/>
      <c r="FV203" s="304"/>
      <c r="FW203" s="304"/>
      <c r="FX203" s="304"/>
      <c r="FY203" s="304"/>
      <c r="FZ203" s="304"/>
      <c r="GA203" s="304"/>
      <c r="GB203" s="304"/>
      <c r="GC203" s="304"/>
      <c r="GD203" s="304"/>
      <c r="GE203" s="304"/>
      <c r="GF203" s="304"/>
      <c r="GG203" s="304"/>
      <c r="GH203" s="304"/>
      <c r="GI203" s="304"/>
      <c r="GJ203" s="304"/>
      <c r="GK203" s="304"/>
      <c r="GL203" s="304"/>
      <c r="GM203" s="304"/>
      <c r="GN203" s="304"/>
      <c r="GO203" s="304"/>
      <c r="GP203" s="304"/>
      <c r="GQ203" s="304"/>
      <c r="GR203" s="304"/>
      <c r="GS203" s="304"/>
      <c r="GT203" s="304"/>
      <c r="GU203" s="304"/>
      <c r="GV203" s="304"/>
      <c r="GW203" s="304"/>
      <c r="GX203" s="304"/>
      <c r="GY203" s="304"/>
      <c r="GZ203" s="304"/>
      <c r="HA203" s="304"/>
      <c r="HB203" s="304"/>
      <c r="HC203" s="304"/>
      <c r="HD203" s="304"/>
      <c r="HE203" s="304"/>
      <c r="HF203" s="304"/>
      <c r="HG203" s="304"/>
      <c r="HH203" s="304"/>
      <c r="HI203" s="304"/>
      <c r="HJ203" s="304"/>
      <c r="HK203" s="304"/>
      <c r="HL203" s="304"/>
      <c r="HM203" s="304"/>
      <c r="HN203" s="304"/>
      <c r="HO203" s="304"/>
      <c r="HP203" s="304"/>
      <c r="HQ203" s="304"/>
      <c r="HR203" s="304"/>
      <c r="HS203" s="304"/>
      <c r="HT203" s="304"/>
      <c r="HU203" s="304"/>
      <c r="HV203" s="304"/>
      <c r="HW203" s="304"/>
      <c r="HX203" s="304"/>
      <c r="HY203" s="304"/>
      <c r="HZ203" s="304"/>
      <c r="IA203" s="304"/>
      <c r="IB203" s="304"/>
      <c r="IC203" s="304"/>
      <c r="ID203" s="304"/>
      <c r="IE203" s="304"/>
      <c r="IF203" s="304"/>
      <c r="IG203" s="304"/>
      <c r="IH203" s="304"/>
      <c r="II203" s="304"/>
      <c r="IJ203" s="304"/>
      <c r="IK203" s="304"/>
      <c r="IL203" s="304"/>
      <c r="IM203" s="304"/>
      <c r="IN203" s="304"/>
      <c r="IO203" s="304"/>
      <c r="IP203" s="304"/>
      <c r="IQ203" s="304"/>
      <c r="IR203" s="304"/>
      <c r="IS203" s="304"/>
      <c r="IT203" s="304"/>
      <c r="IU203" s="304"/>
      <c r="IV203" s="304"/>
    </row>
    <row r="204" spans="1:256" ht="23.25">
      <c r="A204" s="339" t="s">
        <v>333</v>
      </c>
      <c r="B204" s="354" t="s">
        <v>334</v>
      </c>
      <c r="C204" s="355">
        <f t="shared" si="30"/>
        <v>0.02218181818181818</v>
      </c>
      <c r="D204" s="356"/>
      <c r="E204" s="343">
        <v>12200</v>
      </c>
      <c r="F204" s="344"/>
      <c r="G204" s="376">
        <f t="shared" si="29"/>
        <v>1</v>
      </c>
      <c r="H204" s="377">
        <f t="shared" si="31"/>
        <v>12200</v>
      </c>
      <c r="I204" s="377">
        <v>12200</v>
      </c>
      <c r="J204" s="376">
        <f t="shared" si="0"/>
        <v>0</v>
      </c>
      <c r="K204" s="348">
        <v>0</v>
      </c>
      <c r="M204" s="174">
        <f t="shared" si="1"/>
        <v>0</v>
      </c>
      <c r="O204" s="144"/>
      <c r="FH204" s="304"/>
      <c r="FI204" s="304"/>
      <c r="FJ204" s="304"/>
      <c r="FK204" s="304"/>
      <c r="FL204" s="304"/>
      <c r="FM204" s="304"/>
      <c r="FN204" s="304"/>
      <c r="FO204" s="304"/>
      <c r="FP204" s="304"/>
      <c r="FQ204" s="304"/>
      <c r="FR204" s="304"/>
      <c r="FS204" s="304"/>
      <c r="FT204" s="304"/>
      <c r="FU204" s="304"/>
      <c r="FV204" s="304"/>
      <c r="FW204" s="304"/>
      <c r="FX204" s="304"/>
      <c r="FY204" s="304"/>
      <c r="FZ204" s="304"/>
      <c r="GA204" s="304"/>
      <c r="GB204" s="304"/>
      <c r="GC204" s="304"/>
      <c r="GD204" s="304"/>
      <c r="GE204" s="304"/>
      <c r="GF204" s="304"/>
      <c r="GG204" s="304"/>
      <c r="GH204" s="304"/>
      <c r="GI204" s="304"/>
      <c r="GJ204" s="304"/>
      <c r="GK204" s="304"/>
      <c r="GL204" s="304"/>
      <c r="GM204" s="304"/>
      <c r="GN204" s="304"/>
      <c r="GO204" s="304"/>
      <c r="GP204" s="304"/>
      <c r="GQ204" s="304"/>
      <c r="GR204" s="304"/>
      <c r="GS204" s="304"/>
      <c r="GT204" s="304"/>
      <c r="GU204" s="304"/>
      <c r="GV204" s="304"/>
      <c r="GW204" s="304"/>
      <c r="GX204" s="304"/>
      <c r="GY204" s="304"/>
      <c r="GZ204" s="304"/>
      <c r="HA204" s="304"/>
      <c r="HB204" s="304"/>
      <c r="HC204" s="304"/>
      <c r="HD204" s="304"/>
      <c r="HE204" s="304"/>
      <c r="HF204" s="304"/>
      <c r="HG204" s="304"/>
      <c r="HH204" s="304"/>
      <c r="HI204" s="304"/>
      <c r="HJ204" s="304"/>
      <c r="HK204" s="304"/>
      <c r="HL204" s="304"/>
      <c r="HM204" s="304"/>
      <c r="HN204" s="304"/>
      <c r="HO204" s="304"/>
      <c r="HP204" s="304"/>
      <c r="HQ204" s="304"/>
      <c r="HR204" s="304"/>
      <c r="HS204" s="304"/>
      <c r="HT204" s="304"/>
      <c r="HU204" s="304"/>
      <c r="HV204" s="304"/>
      <c r="HW204" s="304"/>
      <c r="HX204" s="304"/>
      <c r="HY204" s="304"/>
      <c r="HZ204" s="304"/>
      <c r="IA204" s="304"/>
      <c r="IB204" s="304"/>
      <c r="IC204" s="304"/>
      <c r="ID204" s="304"/>
      <c r="IE204" s="304"/>
      <c r="IF204" s="304"/>
      <c r="IG204" s="304"/>
      <c r="IH204" s="304"/>
      <c r="II204" s="304"/>
      <c r="IJ204" s="304"/>
      <c r="IK204" s="304"/>
      <c r="IL204" s="304"/>
      <c r="IM204" s="304"/>
      <c r="IN204" s="304"/>
      <c r="IO204" s="304"/>
      <c r="IP204" s="304"/>
      <c r="IQ204" s="304"/>
      <c r="IR204" s="304"/>
      <c r="IS204" s="304"/>
      <c r="IT204" s="304"/>
      <c r="IU204" s="304"/>
      <c r="IV204" s="304"/>
    </row>
    <row r="205" spans="1:256" ht="23.25">
      <c r="A205" s="339" t="s">
        <v>335</v>
      </c>
      <c r="B205" s="354" t="s">
        <v>336</v>
      </c>
      <c r="C205" s="355">
        <f t="shared" si="30"/>
        <v>0.02727272727272727</v>
      </c>
      <c r="D205" s="356"/>
      <c r="E205" s="343">
        <v>15000</v>
      </c>
      <c r="F205" s="344"/>
      <c r="G205" s="376">
        <f t="shared" si="29"/>
        <v>1</v>
      </c>
      <c r="H205" s="377">
        <f t="shared" si="31"/>
        <v>15000</v>
      </c>
      <c r="I205" s="377">
        <v>15000</v>
      </c>
      <c r="J205" s="376">
        <f t="shared" si="0"/>
        <v>0</v>
      </c>
      <c r="K205" s="348">
        <v>0</v>
      </c>
      <c r="M205" s="174">
        <f t="shared" si="1"/>
        <v>0</v>
      </c>
      <c r="O205" s="144"/>
      <c r="FH205" s="304"/>
      <c r="FI205" s="304"/>
      <c r="FJ205" s="304"/>
      <c r="FK205" s="304"/>
      <c r="FL205" s="304"/>
      <c r="FM205" s="304"/>
      <c r="FN205" s="304"/>
      <c r="FO205" s="304"/>
      <c r="FP205" s="304"/>
      <c r="FQ205" s="304"/>
      <c r="FR205" s="304"/>
      <c r="FS205" s="304"/>
      <c r="FT205" s="304"/>
      <c r="FU205" s="304"/>
      <c r="FV205" s="304"/>
      <c r="FW205" s="304"/>
      <c r="FX205" s="304"/>
      <c r="FY205" s="304"/>
      <c r="FZ205" s="304"/>
      <c r="GA205" s="304"/>
      <c r="GB205" s="304"/>
      <c r="GC205" s="304"/>
      <c r="GD205" s="304"/>
      <c r="GE205" s="304"/>
      <c r="GF205" s="304"/>
      <c r="GG205" s="304"/>
      <c r="GH205" s="304"/>
      <c r="GI205" s="304"/>
      <c r="GJ205" s="304"/>
      <c r="GK205" s="304"/>
      <c r="GL205" s="304"/>
      <c r="GM205" s="304"/>
      <c r="GN205" s="304"/>
      <c r="GO205" s="304"/>
      <c r="GP205" s="304"/>
      <c r="GQ205" s="304"/>
      <c r="GR205" s="304"/>
      <c r="GS205" s="304"/>
      <c r="GT205" s="304"/>
      <c r="GU205" s="304"/>
      <c r="GV205" s="304"/>
      <c r="GW205" s="304"/>
      <c r="GX205" s="304"/>
      <c r="GY205" s="304"/>
      <c r="GZ205" s="304"/>
      <c r="HA205" s="304"/>
      <c r="HB205" s="304"/>
      <c r="HC205" s="304"/>
      <c r="HD205" s="304"/>
      <c r="HE205" s="304"/>
      <c r="HF205" s="304"/>
      <c r="HG205" s="304"/>
      <c r="HH205" s="304"/>
      <c r="HI205" s="304"/>
      <c r="HJ205" s="304"/>
      <c r="HK205" s="304"/>
      <c r="HL205" s="304"/>
      <c r="HM205" s="304"/>
      <c r="HN205" s="304"/>
      <c r="HO205" s="304"/>
      <c r="HP205" s="304"/>
      <c r="HQ205" s="304"/>
      <c r="HR205" s="304"/>
      <c r="HS205" s="304"/>
      <c r="HT205" s="304"/>
      <c r="HU205" s="304"/>
      <c r="HV205" s="304"/>
      <c r="HW205" s="304"/>
      <c r="HX205" s="304"/>
      <c r="HY205" s="304"/>
      <c r="HZ205" s="304"/>
      <c r="IA205" s="304"/>
      <c r="IB205" s="304"/>
      <c r="IC205" s="304"/>
      <c r="ID205" s="304"/>
      <c r="IE205" s="304"/>
      <c r="IF205" s="304"/>
      <c r="IG205" s="304"/>
      <c r="IH205" s="304"/>
      <c r="II205" s="304"/>
      <c r="IJ205" s="304"/>
      <c r="IK205" s="304"/>
      <c r="IL205" s="304"/>
      <c r="IM205" s="304"/>
      <c r="IN205" s="304"/>
      <c r="IO205" s="304"/>
      <c r="IP205" s="304"/>
      <c r="IQ205" s="304"/>
      <c r="IR205" s="304"/>
      <c r="IS205" s="304"/>
      <c r="IT205" s="304"/>
      <c r="IU205" s="304"/>
      <c r="IV205" s="304"/>
    </row>
    <row r="206" spans="1:256" ht="23.25">
      <c r="A206" s="339" t="s">
        <v>337</v>
      </c>
      <c r="B206" s="354" t="s">
        <v>338</v>
      </c>
      <c r="C206" s="355">
        <f t="shared" si="30"/>
        <v>0.03727272727272727</v>
      </c>
      <c r="D206" s="356"/>
      <c r="E206" s="343">
        <v>20500</v>
      </c>
      <c r="F206" s="344"/>
      <c r="G206" s="376">
        <f t="shared" si="29"/>
        <v>1</v>
      </c>
      <c r="H206" s="377">
        <f t="shared" si="31"/>
        <v>20500</v>
      </c>
      <c r="I206" s="377">
        <v>0</v>
      </c>
      <c r="J206" s="376">
        <f t="shared" si="0"/>
        <v>1</v>
      </c>
      <c r="K206" s="348">
        <v>20500</v>
      </c>
      <c r="M206" s="174">
        <f t="shared" si="1"/>
        <v>20500</v>
      </c>
      <c r="O206" s="144"/>
      <c r="FH206" s="304"/>
      <c r="FI206" s="304"/>
      <c r="FJ206" s="304"/>
      <c r="FK206" s="304"/>
      <c r="FL206" s="304"/>
      <c r="FM206" s="304"/>
      <c r="FN206" s="304"/>
      <c r="FO206" s="304"/>
      <c r="FP206" s="304"/>
      <c r="FQ206" s="304"/>
      <c r="FR206" s="304"/>
      <c r="FS206" s="304"/>
      <c r="FT206" s="304"/>
      <c r="FU206" s="304"/>
      <c r="FV206" s="304"/>
      <c r="FW206" s="304"/>
      <c r="FX206" s="304"/>
      <c r="FY206" s="304"/>
      <c r="FZ206" s="304"/>
      <c r="GA206" s="304"/>
      <c r="GB206" s="304"/>
      <c r="GC206" s="304"/>
      <c r="GD206" s="304"/>
      <c r="GE206" s="304"/>
      <c r="GF206" s="304"/>
      <c r="GG206" s="304"/>
      <c r="GH206" s="304"/>
      <c r="GI206" s="304"/>
      <c r="GJ206" s="304"/>
      <c r="GK206" s="304"/>
      <c r="GL206" s="304"/>
      <c r="GM206" s="304"/>
      <c r="GN206" s="304"/>
      <c r="GO206" s="304"/>
      <c r="GP206" s="304"/>
      <c r="GQ206" s="304"/>
      <c r="GR206" s="304"/>
      <c r="GS206" s="304"/>
      <c r="GT206" s="304"/>
      <c r="GU206" s="304"/>
      <c r="GV206" s="304"/>
      <c r="GW206" s="304"/>
      <c r="GX206" s="304"/>
      <c r="GY206" s="304"/>
      <c r="GZ206" s="304"/>
      <c r="HA206" s="304"/>
      <c r="HB206" s="304"/>
      <c r="HC206" s="304"/>
      <c r="HD206" s="304"/>
      <c r="HE206" s="304"/>
      <c r="HF206" s="304"/>
      <c r="HG206" s="304"/>
      <c r="HH206" s="304"/>
      <c r="HI206" s="304"/>
      <c r="HJ206" s="304"/>
      <c r="HK206" s="304"/>
      <c r="HL206" s="304"/>
      <c r="HM206" s="304"/>
      <c r="HN206" s="304"/>
      <c r="HO206" s="304"/>
      <c r="HP206" s="304"/>
      <c r="HQ206" s="304"/>
      <c r="HR206" s="304"/>
      <c r="HS206" s="304"/>
      <c r="HT206" s="304"/>
      <c r="HU206" s="304"/>
      <c r="HV206" s="304"/>
      <c r="HW206" s="304"/>
      <c r="HX206" s="304"/>
      <c r="HY206" s="304"/>
      <c r="HZ206" s="304"/>
      <c r="IA206" s="304"/>
      <c r="IB206" s="304"/>
      <c r="IC206" s="304"/>
      <c r="ID206" s="304"/>
      <c r="IE206" s="304"/>
      <c r="IF206" s="304"/>
      <c r="IG206" s="304"/>
      <c r="IH206" s="304"/>
      <c r="II206" s="304"/>
      <c r="IJ206" s="304"/>
      <c r="IK206" s="304"/>
      <c r="IL206" s="304"/>
      <c r="IM206" s="304"/>
      <c r="IN206" s="304"/>
      <c r="IO206" s="304"/>
      <c r="IP206" s="304"/>
      <c r="IQ206" s="304"/>
      <c r="IR206" s="304"/>
      <c r="IS206" s="304"/>
      <c r="IT206" s="304"/>
      <c r="IU206" s="304"/>
      <c r="IV206" s="304"/>
    </row>
    <row r="207" spans="1:256" ht="23.25">
      <c r="A207" s="339" t="s">
        <v>339</v>
      </c>
      <c r="B207" s="354" t="s">
        <v>340</v>
      </c>
      <c r="C207" s="355">
        <f t="shared" si="30"/>
        <v>0.02181818181818182</v>
      </c>
      <c r="D207" s="356"/>
      <c r="E207" s="343">
        <v>12000</v>
      </c>
      <c r="F207" s="344"/>
      <c r="G207" s="376">
        <f t="shared" si="29"/>
        <v>1</v>
      </c>
      <c r="H207" s="377">
        <f t="shared" si="31"/>
        <v>12000</v>
      </c>
      <c r="I207" s="377">
        <v>0</v>
      </c>
      <c r="J207" s="376">
        <f t="shared" si="0"/>
        <v>1</v>
      </c>
      <c r="K207" s="348">
        <v>12000</v>
      </c>
      <c r="M207" s="174">
        <f t="shared" si="1"/>
        <v>12000</v>
      </c>
      <c r="O207" s="144"/>
      <c r="FH207" s="304"/>
      <c r="FI207" s="304"/>
      <c r="FJ207" s="304"/>
      <c r="FK207" s="304"/>
      <c r="FL207" s="304"/>
      <c r="FM207" s="304"/>
      <c r="FN207" s="304"/>
      <c r="FO207" s="304"/>
      <c r="FP207" s="304"/>
      <c r="FQ207" s="304"/>
      <c r="FR207" s="304"/>
      <c r="FS207" s="304"/>
      <c r="FT207" s="304"/>
      <c r="FU207" s="304"/>
      <c r="FV207" s="304"/>
      <c r="FW207" s="304"/>
      <c r="FX207" s="304"/>
      <c r="FY207" s="304"/>
      <c r="FZ207" s="304"/>
      <c r="GA207" s="304"/>
      <c r="GB207" s="304"/>
      <c r="GC207" s="304"/>
      <c r="GD207" s="304"/>
      <c r="GE207" s="304"/>
      <c r="GF207" s="304"/>
      <c r="GG207" s="304"/>
      <c r="GH207" s="304"/>
      <c r="GI207" s="304"/>
      <c r="GJ207" s="304"/>
      <c r="GK207" s="304"/>
      <c r="GL207" s="304"/>
      <c r="GM207" s="304"/>
      <c r="GN207" s="304"/>
      <c r="GO207" s="304"/>
      <c r="GP207" s="304"/>
      <c r="GQ207" s="304"/>
      <c r="GR207" s="304"/>
      <c r="GS207" s="304"/>
      <c r="GT207" s="304"/>
      <c r="GU207" s="304"/>
      <c r="GV207" s="304"/>
      <c r="GW207" s="304"/>
      <c r="GX207" s="304"/>
      <c r="GY207" s="304"/>
      <c r="GZ207" s="304"/>
      <c r="HA207" s="304"/>
      <c r="HB207" s="304"/>
      <c r="HC207" s="304"/>
      <c r="HD207" s="304"/>
      <c r="HE207" s="304"/>
      <c r="HF207" s="304"/>
      <c r="HG207" s="304"/>
      <c r="HH207" s="304"/>
      <c r="HI207" s="304"/>
      <c r="HJ207" s="304"/>
      <c r="HK207" s="304"/>
      <c r="HL207" s="304"/>
      <c r="HM207" s="304"/>
      <c r="HN207" s="304"/>
      <c r="HO207" s="304"/>
      <c r="HP207" s="304"/>
      <c r="HQ207" s="304"/>
      <c r="HR207" s="304"/>
      <c r="HS207" s="304"/>
      <c r="HT207" s="304"/>
      <c r="HU207" s="304"/>
      <c r="HV207" s="304"/>
      <c r="HW207" s="304"/>
      <c r="HX207" s="304"/>
      <c r="HY207" s="304"/>
      <c r="HZ207" s="304"/>
      <c r="IA207" s="304"/>
      <c r="IB207" s="304"/>
      <c r="IC207" s="304"/>
      <c r="ID207" s="304"/>
      <c r="IE207" s="304"/>
      <c r="IF207" s="304"/>
      <c r="IG207" s="304"/>
      <c r="IH207" s="304"/>
      <c r="II207" s="304"/>
      <c r="IJ207" s="304"/>
      <c r="IK207" s="304"/>
      <c r="IL207" s="304"/>
      <c r="IM207" s="304"/>
      <c r="IN207" s="304"/>
      <c r="IO207" s="304"/>
      <c r="IP207" s="304"/>
      <c r="IQ207" s="304"/>
      <c r="IR207" s="304"/>
      <c r="IS207" s="304"/>
      <c r="IT207" s="304"/>
      <c r="IU207" s="304"/>
      <c r="IV207" s="304"/>
    </row>
    <row r="208" spans="1:256" ht="23.25">
      <c r="A208" s="339" t="s">
        <v>341</v>
      </c>
      <c r="B208" s="354" t="s">
        <v>342</v>
      </c>
      <c r="C208" s="355">
        <f t="shared" si="30"/>
        <v>0.02090909090909091</v>
      </c>
      <c r="D208" s="356"/>
      <c r="E208" s="343">
        <v>11500</v>
      </c>
      <c r="F208" s="344"/>
      <c r="G208" s="376">
        <f t="shared" si="29"/>
        <v>1</v>
      </c>
      <c r="H208" s="377">
        <f t="shared" si="31"/>
        <v>11500</v>
      </c>
      <c r="I208" s="377">
        <v>0</v>
      </c>
      <c r="J208" s="376">
        <f t="shared" si="0"/>
        <v>1</v>
      </c>
      <c r="K208" s="348">
        <v>11500</v>
      </c>
      <c r="M208" s="174">
        <f t="shared" si="1"/>
        <v>11500</v>
      </c>
      <c r="O208" s="144"/>
      <c r="FH208" s="304"/>
      <c r="FI208" s="304"/>
      <c r="FJ208" s="304"/>
      <c r="FK208" s="304"/>
      <c r="FL208" s="304"/>
      <c r="FM208" s="304"/>
      <c r="FN208" s="304"/>
      <c r="FO208" s="304"/>
      <c r="FP208" s="304"/>
      <c r="FQ208" s="304"/>
      <c r="FR208" s="304"/>
      <c r="FS208" s="304"/>
      <c r="FT208" s="304"/>
      <c r="FU208" s="304"/>
      <c r="FV208" s="304"/>
      <c r="FW208" s="304"/>
      <c r="FX208" s="304"/>
      <c r="FY208" s="304"/>
      <c r="FZ208" s="304"/>
      <c r="GA208" s="304"/>
      <c r="GB208" s="304"/>
      <c r="GC208" s="304"/>
      <c r="GD208" s="304"/>
      <c r="GE208" s="304"/>
      <c r="GF208" s="304"/>
      <c r="GG208" s="304"/>
      <c r="GH208" s="304"/>
      <c r="GI208" s="304"/>
      <c r="GJ208" s="304"/>
      <c r="GK208" s="304"/>
      <c r="GL208" s="304"/>
      <c r="GM208" s="304"/>
      <c r="GN208" s="304"/>
      <c r="GO208" s="304"/>
      <c r="GP208" s="304"/>
      <c r="GQ208" s="304"/>
      <c r="GR208" s="304"/>
      <c r="GS208" s="304"/>
      <c r="GT208" s="304"/>
      <c r="GU208" s="304"/>
      <c r="GV208" s="304"/>
      <c r="GW208" s="304"/>
      <c r="GX208" s="304"/>
      <c r="GY208" s="304"/>
      <c r="GZ208" s="304"/>
      <c r="HA208" s="304"/>
      <c r="HB208" s="304"/>
      <c r="HC208" s="304"/>
      <c r="HD208" s="304"/>
      <c r="HE208" s="304"/>
      <c r="HF208" s="304"/>
      <c r="HG208" s="304"/>
      <c r="HH208" s="304"/>
      <c r="HI208" s="304"/>
      <c r="HJ208" s="304"/>
      <c r="HK208" s="304"/>
      <c r="HL208" s="304"/>
      <c r="HM208" s="304"/>
      <c r="HN208" s="304"/>
      <c r="HO208" s="304"/>
      <c r="HP208" s="304"/>
      <c r="HQ208" s="304"/>
      <c r="HR208" s="304"/>
      <c r="HS208" s="304"/>
      <c r="HT208" s="304"/>
      <c r="HU208" s="304"/>
      <c r="HV208" s="304"/>
      <c r="HW208" s="304"/>
      <c r="HX208" s="304"/>
      <c r="HY208" s="304"/>
      <c r="HZ208" s="304"/>
      <c r="IA208" s="304"/>
      <c r="IB208" s="304"/>
      <c r="IC208" s="304"/>
      <c r="ID208" s="304"/>
      <c r="IE208" s="304"/>
      <c r="IF208" s="304"/>
      <c r="IG208" s="304"/>
      <c r="IH208" s="304"/>
      <c r="II208" s="304"/>
      <c r="IJ208" s="304"/>
      <c r="IK208" s="304"/>
      <c r="IL208" s="304"/>
      <c r="IM208" s="304"/>
      <c r="IN208" s="304"/>
      <c r="IO208" s="304"/>
      <c r="IP208" s="304"/>
      <c r="IQ208" s="304"/>
      <c r="IR208" s="304"/>
      <c r="IS208" s="304"/>
      <c r="IT208" s="304"/>
      <c r="IU208" s="304"/>
      <c r="IV208" s="304"/>
    </row>
    <row r="209" spans="1:256" ht="23.25">
      <c r="A209" s="339" t="s">
        <v>343</v>
      </c>
      <c r="B209" s="354" t="s">
        <v>344</v>
      </c>
      <c r="C209" s="355">
        <f t="shared" si="30"/>
        <v>0.2545454545454545</v>
      </c>
      <c r="D209" s="356"/>
      <c r="E209" s="343">
        <v>140000</v>
      </c>
      <c r="F209" s="344"/>
      <c r="G209" s="376">
        <f t="shared" si="29"/>
        <v>0.9</v>
      </c>
      <c r="H209" s="377">
        <f t="shared" si="31"/>
        <v>126000</v>
      </c>
      <c r="I209" s="377">
        <v>98000</v>
      </c>
      <c r="J209" s="376">
        <f t="shared" si="0"/>
        <v>0.2</v>
      </c>
      <c r="K209" s="348">
        <v>28000</v>
      </c>
      <c r="M209" s="174">
        <f t="shared" si="1"/>
        <v>28000</v>
      </c>
      <c r="O209" s="144"/>
      <c r="FH209" s="304"/>
      <c r="FI209" s="304"/>
      <c r="FJ209" s="304"/>
      <c r="FK209" s="304"/>
      <c r="FL209" s="304"/>
      <c r="FM209" s="304"/>
      <c r="FN209" s="304"/>
      <c r="FO209" s="304"/>
      <c r="FP209" s="304"/>
      <c r="FQ209" s="304"/>
      <c r="FR209" s="304"/>
      <c r="FS209" s="304"/>
      <c r="FT209" s="304"/>
      <c r="FU209" s="304"/>
      <c r="FV209" s="304"/>
      <c r="FW209" s="304"/>
      <c r="FX209" s="304"/>
      <c r="FY209" s="304"/>
      <c r="FZ209" s="304"/>
      <c r="GA209" s="304"/>
      <c r="GB209" s="304"/>
      <c r="GC209" s="304"/>
      <c r="GD209" s="304"/>
      <c r="GE209" s="304"/>
      <c r="GF209" s="304"/>
      <c r="GG209" s="304"/>
      <c r="GH209" s="304"/>
      <c r="GI209" s="304"/>
      <c r="GJ209" s="304"/>
      <c r="GK209" s="304"/>
      <c r="GL209" s="304"/>
      <c r="GM209" s="304"/>
      <c r="GN209" s="304"/>
      <c r="GO209" s="304"/>
      <c r="GP209" s="304"/>
      <c r="GQ209" s="304"/>
      <c r="GR209" s="304"/>
      <c r="GS209" s="304"/>
      <c r="GT209" s="304"/>
      <c r="GU209" s="304"/>
      <c r="GV209" s="304"/>
      <c r="GW209" s="304"/>
      <c r="GX209" s="304"/>
      <c r="GY209" s="304"/>
      <c r="GZ209" s="304"/>
      <c r="HA209" s="304"/>
      <c r="HB209" s="304"/>
      <c r="HC209" s="304"/>
      <c r="HD209" s="304"/>
      <c r="HE209" s="304"/>
      <c r="HF209" s="304"/>
      <c r="HG209" s="304"/>
      <c r="HH209" s="304"/>
      <c r="HI209" s="304"/>
      <c r="HJ209" s="304"/>
      <c r="HK209" s="304"/>
      <c r="HL209" s="304"/>
      <c r="HM209" s="304"/>
      <c r="HN209" s="304"/>
      <c r="HO209" s="304"/>
      <c r="HP209" s="304"/>
      <c r="HQ209" s="304"/>
      <c r="HR209" s="304"/>
      <c r="HS209" s="304"/>
      <c r="HT209" s="304"/>
      <c r="HU209" s="304"/>
      <c r="HV209" s="304"/>
      <c r="HW209" s="304"/>
      <c r="HX209" s="304"/>
      <c r="HY209" s="304"/>
      <c r="HZ209" s="304"/>
      <c r="IA209" s="304"/>
      <c r="IB209" s="304"/>
      <c r="IC209" s="304"/>
      <c r="ID209" s="304"/>
      <c r="IE209" s="304"/>
      <c r="IF209" s="304"/>
      <c r="IG209" s="304"/>
      <c r="IH209" s="304"/>
      <c r="II209" s="304"/>
      <c r="IJ209" s="304"/>
      <c r="IK209" s="304"/>
      <c r="IL209" s="304"/>
      <c r="IM209" s="304"/>
      <c r="IN209" s="304"/>
      <c r="IO209" s="304"/>
      <c r="IP209" s="304"/>
      <c r="IQ209" s="304"/>
      <c r="IR209" s="304"/>
      <c r="IS209" s="304"/>
      <c r="IT209" s="304"/>
      <c r="IU209" s="304"/>
      <c r="IV209" s="304"/>
    </row>
    <row r="210" spans="1:256" ht="23.25">
      <c r="A210" s="309" t="s">
        <v>345</v>
      </c>
      <c r="B210" s="294" t="s">
        <v>346</v>
      </c>
      <c r="C210" s="295">
        <f>+E210/E185</f>
        <v>0.39049303832643767</v>
      </c>
      <c r="D210" s="310"/>
      <c r="E210" s="299">
        <v>430000</v>
      </c>
      <c r="F210" s="311"/>
      <c r="G210" s="298">
        <f t="shared" si="29"/>
        <v>1</v>
      </c>
      <c r="H210" s="299">
        <f t="shared" si="31"/>
        <v>430000</v>
      </c>
      <c r="I210" s="299">
        <f>SUM(I211:I229)</f>
        <v>280200</v>
      </c>
      <c r="J210" s="298">
        <f t="shared" si="0"/>
        <v>0.34837209302325584</v>
      </c>
      <c r="K210" s="300">
        <f>SUM(K211:K229)</f>
        <v>149800</v>
      </c>
      <c r="M210" s="174">
        <f t="shared" si="1"/>
        <v>149800</v>
      </c>
      <c r="O210" s="144"/>
      <c r="FH210" s="359"/>
      <c r="FI210" s="359"/>
      <c r="FJ210" s="359"/>
      <c r="FK210" s="359"/>
      <c r="FL210" s="359"/>
      <c r="FM210" s="359"/>
      <c r="FN210" s="359"/>
      <c r="FO210" s="359"/>
      <c r="FP210" s="359"/>
      <c r="FQ210" s="359"/>
      <c r="FR210" s="359"/>
      <c r="FS210" s="359"/>
      <c r="FT210" s="359"/>
      <c r="FU210" s="359"/>
      <c r="FV210" s="359"/>
      <c r="FW210" s="359"/>
      <c r="FX210" s="359"/>
      <c r="FY210" s="359"/>
      <c r="FZ210" s="359"/>
      <c r="GA210" s="359"/>
      <c r="GB210" s="359"/>
      <c r="GC210" s="359"/>
      <c r="GD210" s="359"/>
      <c r="GE210" s="359"/>
      <c r="GF210" s="359"/>
      <c r="GG210" s="359"/>
      <c r="GH210" s="359"/>
      <c r="GI210" s="359"/>
      <c r="GJ210" s="359"/>
      <c r="GK210" s="359"/>
      <c r="GL210" s="359"/>
      <c r="GM210" s="359"/>
      <c r="GN210" s="359"/>
      <c r="GO210" s="359"/>
      <c r="GP210" s="359"/>
      <c r="GQ210" s="359"/>
      <c r="GR210" s="359"/>
      <c r="GS210" s="359"/>
      <c r="GT210" s="359"/>
      <c r="GU210" s="359"/>
      <c r="GV210" s="359"/>
      <c r="GW210" s="359"/>
      <c r="GX210" s="359"/>
      <c r="GY210" s="359"/>
      <c r="GZ210" s="359"/>
      <c r="HA210" s="359"/>
      <c r="HB210" s="359"/>
      <c r="HC210" s="359"/>
      <c r="HD210" s="359"/>
      <c r="HE210" s="359"/>
      <c r="HF210" s="359"/>
      <c r="HG210" s="359"/>
      <c r="HH210" s="359"/>
      <c r="HI210" s="359"/>
      <c r="HJ210" s="359"/>
      <c r="HK210" s="359"/>
      <c r="HL210" s="359"/>
      <c r="HM210" s="359"/>
      <c r="HN210" s="359"/>
      <c r="HO210" s="359"/>
      <c r="HP210" s="359"/>
      <c r="HQ210" s="359"/>
      <c r="HR210" s="359"/>
      <c r="HS210" s="359"/>
      <c r="HT210" s="359"/>
      <c r="HU210" s="359"/>
      <c r="HV210" s="359"/>
      <c r="HW210" s="359"/>
      <c r="HX210" s="359"/>
      <c r="HY210" s="359"/>
      <c r="HZ210" s="359"/>
      <c r="IA210" s="359"/>
      <c r="IB210" s="359"/>
      <c r="IC210" s="359"/>
      <c r="ID210" s="359"/>
      <c r="IE210" s="359"/>
      <c r="IF210" s="359"/>
      <c r="IG210" s="359"/>
      <c r="IH210" s="359"/>
      <c r="II210" s="359"/>
      <c r="IJ210" s="359"/>
      <c r="IK210" s="359"/>
      <c r="IL210" s="359"/>
      <c r="IM210" s="359"/>
      <c r="IN210" s="359"/>
      <c r="IO210" s="359"/>
      <c r="IP210" s="359"/>
      <c r="IQ210" s="359"/>
      <c r="IR210" s="359"/>
      <c r="IS210" s="359"/>
      <c r="IT210" s="359"/>
      <c r="IU210" s="359"/>
      <c r="IV210" s="359"/>
    </row>
    <row r="211" spans="1:256" ht="23.25">
      <c r="A211" s="339" t="s">
        <v>347</v>
      </c>
      <c r="B211" s="354" t="s">
        <v>348</v>
      </c>
      <c r="C211" s="355">
        <f aca="true" t="shared" si="32" ref="C211:C229">+E211/$E$210</f>
        <v>0.06976744186046512</v>
      </c>
      <c r="D211" s="356"/>
      <c r="E211" s="343">
        <v>30000</v>
      </c>
      <c r="F211" s="344"/>
      <c r="G211" s="376">
        <f t="shared" si="29"/>
        <v>1</v>
      </c>
      <c r="H211" s="343">
        <f t="shared" si="31"/>
        <v>30000</v>
      </c>
      <c r="I211" s="343">
        <v>30000</v>
      </c>
      <c r="J211" s="376">
        <f t="shared" si="0"/>
        <v>0</v>
      </c>
      <c r="K211" s="348">
        <v>0</v>
      </c>
      <c r="M211" s="174">
        <f t="shared" si="1"/>
        <v>0</v>
      </c>
      <c r="O211" s="144"/>
      <c r="FH211" s="304"/>
      <c r="FI211" s="304"/>
      <c r="FJ211" s="304"/>
      <c r="FK211" s="304"/>
      <c r="FL211" s="304"/>
      <c r="FM211" s="304"/>
      <c r="FN211" s="304"/>
      <c r="FO211" s="304"/>
      <c r="FP211" s="304"/>
      <c r="FQ211" s="304"/>
      <c r="FR211" s="304"/>
      <c r="FS211" s="304"/>
      <c r="FT211" s="304"/>
      <c r="FU211" s="304"/>
      <c r="FV211" s="304"/>
      <c r="FW211" s="304"/>
      <c r="FX211" s="304"/>
      <c r="FY211" s="304"/>
      <c r="FZ211" s="304"/>
      <c r="GA211" s="304"/>
      <c r="GB211" s="304"/>
      <c r="GC211" s="304"/>
      <c r="GD211" s="304"/>
      <c r="GE211" s="304"/>
      <c r="GF211" s="304"/>
      <c r="GG211" s="304"/>
      <c r="GH211" s="304"/>
      <c r="GI211" s="304"/>
      <c r="GJ211" s="304"/>
      <c r="GK211" s="304"/>
      <c r="GL211" s="304"/>
      <c r="GM211" s="304"/>
      <c r="GN211" s="304"/>
      <c r="GO211" s="304"/>
      <c r="GP211" s="304"/>
      <c r="GQ211" s="304"/>
      <c r="GR211" s="304"/>
      <c r="GS211" s="304"/>
      <c r="GT211" s="304"/>
      <c r="GU211" s="304"/>
      <c r="GV211" s="304"/>
      <c r="GW211" s="304"/>
      <c r="GX211" s="304"/>
      <c r="GY211" s="304"/>
      <c r="GZ211" s="304"/>
      <c r="HA211" s="304"/>
      <c r="HB211" s="304"/>
      <c r="HC211" s="304"/>
      <c r="HD211" s="304"/>
      <c r="HE211" s="304"/>
      <c r="HF211" s="304"/>
      <c r="HG211" s="304"/>
      <c r="HH211" s="304"/>
      <c r="HI211" s="304"/>
      <c r="HJ211" s="304"/>
      <c r="HK211" s="304"/>
      <c r="HL211" s="304"/>
      <c r="HM211" s="304"/>
      <c r="HN211" s="304"/>
      <c r="HO211" s="304"/>
      <c r="HP211" s="304"/>
      <c r="HQ211" s="304"/>
      <c r="HR211" s="304"/>
      <c r="HS211" s="304"/>
      <c r="HT211" s="304"/>
      <c r="HU211" s="304"/>
      <c r="HV211" s="304"/>
      <c r="HW211" s="304"/>
      <c r="HX211" s="304"/>
      <c r="HY211" s="304"/>
      <c r="HZ211" s="304"/>
      <c r="IA211" s="304"/>
      <c r="IB211" s="304"/>
      <c r="IC211" s="304"/>
      <c r="ID211" s="304"/>
      <c r="IE211" s="304"/>
      <c r="IF211" s="304"/>
      <c r="IG211" s="304"/>
      <c r="IH211" s="304"/>
      <c r="II211" s="304"/>
      <c r="IJ211" s="304"/>
      <c r="IK211" s="304"/>
      <c r="IL211" s="304"/>
      <c r="IM211" s="304"/>
      <c r="IN211" s="304"/>
      <c r="IO211" s="304"/>
      <c r="IP211" s="304"/>
      <c r="IQ211" s="304"/>
      <c r="IR211" s="304"/>
      <c r="IS211" s="304"/>
      <c r="IT211" s="304"/>
      <c r="IU211" s="304"/>
      <c r="IV211" s="304"/>
    </row>
    <row r="212" spans="1:256" ht="23.25">
      <c r="A212" s="339" t="s">
        <v>349</v>
      </c>
      <c r="B212" s="354" t="s">
        <v>350</v>
      </c>
      <c r="C212" s="355">
        <f t="shared" si="32"/>
        <v>0.046511627906976744</v>
      </c>
      <c r="D212" s="356"/>
      <c r="E212" s="343">
        <v>20000</v>
      </c>
      <c r="F212" s="344"/>
      <c r="G212" s="376">
        <f t="shared" si="29"/>
        <v>1</v>
      </c>
      <c r="H212" s="343">
        <f t="shared" si="31"/>
        <v>20000</v>
      </c>
      <c r="I212" s="343">
        <v>12000</v>
      </c>
      <c r="J212" s="376">
        <f t="shared" si="0"/>
        <v>0.4</v>
      </c>
      <c r="K212" s="348">
        <v>8000</v>
      </c>
      <c r="M212" s="174">
        <f t="shared" si="1"/>
        <v>8000</v>
      </c>
      <c r="O212" s="144"/>
      <c r="FH212" s="304"/>
      <c r="FI212" s="304"/>
      <c r="FJ212" s="304"/>
      <c r="FK212" s="304"/>
      <c r="FL212" s="304"/>
      <c r="FM212" s="304"/>
      <c r="FN212" s="304"/>
      <c r="FO212" s="304"/>
      <c r="FP212" s="304"/>
      <c r="FQ212" s="304"/>
      <c r="FR212" s="304"/>
      <c r="FS212" s="304"/>
      <c r="FT212" s="304"/>
      <c r="FU212" s="304"/>
      <c r="FV212" s="304"/>
      <c r="FW212" s="304"/>
      <c r="FX212" s="304"/>
      <c r="FY212" s="304"/>
      <c r="FZ212" s="304"/>
      <c r="GA212" s="304"/>
      <c r="GB212" s="304"/>
      <c r="GC212" s="304"/>
      <c r="GD212" s="304"/>
      <c r="GE212" s="304"/>
      <c r="GF212" s="304"/>
      <c r="GG212" s="304"/>
      <c r="GH212" s="304"/>
      <c r="GI212" s="304"/>
      <c r="GJ212" s="304"/>
      <c r="GK212" s="304"/>
      <c r="GL212" s="304"/>
      <c r="GM212" s="304"/>
      <c r="GN212" s="304"/>
      <c r="GO212" s="304"/>
      <c r="GP212" s="304"/>
      <c r="GQ212" s="304"/>
      <c r="GR212" s="304"/>
      <c r="GS212" s="304"/>
      <c r="GT212" s="304"/>
      <c r="GU212" s="304"/>
      <c r="GV212" s="304"/>
      <c r="GW212" s="304"/>
      <c r="GX212" s="304"/>
      <c r="GY212" s="304"/>
      <c r="GZ212" s="304"/>
      <c r="HA212" s="304"/>
      <c r="HB212" s="304"/>
      <c r="HC212" s="304"/>
      <c r="HD212" s="304"/>
      <c r="HE212" s="304"/>
      <c r="HF212" s="304"/>
      <c r="HG212" s="304"/>
      <c r="HH212" s="304"/>
      <c r="HI212" s="304"/>
      <c r="HJ212" s="304"/>
      <c r="HK212" s="304"/>
      <c r="HL212" s="304"/>
      <c r="HM212" s="304"/>
      <c r="HN212" s="304"/>
      <c r="HO212" s="304"/>
      <c r="HP212" s="304"/>
      <c r="HQ212" s="304"/>
      <c r="HR212" s="304"/>
      <c r="HS212" s="304"/>
      <c r="HT212" s="304"/>
      <c r="HU212" s="304"/>
      <c r="HV212" s="304"/>
      <c r="HW212" s="304"/>
      <c r="HX212" s="304"/>
      <c r="HY212" s="304"/>
      <c r="HZ212" s="304"/>
      <c r="IA212" s="304"/>
      <c r="IB212" s="304"/>
      <c r="IC212" s="304"/>
      <c r="ID212" s="304"/>
      <c r="IE212" s="304"/>
      <c r="IF212" s="304"/>
      <c r="IG212" s="304"/>
      <c r="IH212" s="304"/>
      <c r="II212" s="304"/>
      <c r="IJ212" s="304"/>
      <c r="IK212" s="304"/>
      <c r="IL212" s="304"/>
      <c r="IM212" s="304"/>
      <c r="IN212" s="304"/>
      <c r="IO212" s="304"/>
      <c r="IP212" s="304"/>
      <c r="IQ212" s="304"/>
      <c r="IR212" s="304"/>
      <c r="IS212" s="304"/>
      <c r="IT212" s="304"/>
      <c r="IU212" s="304"/>
      <c r="IV212" s="304"/>
    </row>
    <row r="213" spans="1:256" ht="23.25">
      <c r="A213" s="339" t="s">
        <v>351</v>
      </c>
      <c r="B213" s="354" t="s">
        <v>352</v>
      </c>
      <c r="C213" s="355">
        <f t="shared" si="32"/>
        <v>0.09302325581395349</v>
      </c>
      <c r="D213" s="356"/>
      <c r="E213" s="343">
        <v>40000</v>
      </c>
      <c r="F213" s="344"/>
      <c r="G213" s="376">
        <f t="shared" si="29"/>
        <v>1</v>
      </c>
      <c r="H213" s="343">
        <f t="shared" si="31"/>
        <v>40000</v>
      </c>
      <c r="I213" s="343">
        <v>32000</v>
      </c>
      <c r="J213" s="376">
        <f t="shared" si="0"/>
        <v>0.2</v>
      </c>
      <c r="K213" s="348">
        <v>8000</v>
      </c>
      <c r="M213" s="174">
        <f t="shared" si="1"/>
        <v>8000</v>
      </c>
      <c r="O213" s="144"/>
      <c r="FH213" s="304"/>
      <c r="FI213" s="304"/>
      <c r="FJ213" s="304"/>
      <c r="FK213" s="304"/>
      <c r="FL213" s="304"/>
      <c r="FM213" s="304"/>
      <c r="FN213" s="304"/>
      <c r="FO213" s="304"/>
      <c r="FP213" s="304"/>
      <c r="FQ213" s="304"/>
      <c r="FR213" s="304"/>
      <c r="FS213" s="304"/>
      <c r="FT213" s="304"/>
      <c r="FU213" s="304"/>
      <c r="FV213" s="304"/>
      <c r="FW213" s="304"/>
      <c r="FX213" s="304"/>
      <c r="FY213" s="304"/>
      <c r="FZ213" s="304"/>
      <c r="GA213" s="304"/>
      <c r="GB213" s="304"/>
      <c r="GC213" s="304"/>
      <c r="GD213" s="304"/>
      <c r="GE213" s="304"/>
      <c r="GF213" s="304"/>
      <c r="GG213" s="304"/>
      <c r="GH213" s="304"/>
      <c r="GI213" s="304"/>
      <c r="GJ213" s="304"/>
      <c r="GK213" s="304"/>
      <c r="GL213" s="304"/>
      <c r="GM213" s="304"/>
      <c r="GN213" s="304"/>
      <c r="GO213" s="304"/>
      <c r="GP213" s="304"/>
      <c r="GQ213" s="304"/>
      <c r="GR213" s="304"/>
      <c r="GS213" s="304"/>
      <c r="GT213" s="304"/>
      <c r="GU213" s="304"/>
      <c r="GV213" s="304"/>
      <c r="GW213" s="304"/>
      <c r="GX213" s="304"/>
      <c r="GY213" s="304"/>
      <c r="GZ213" s="304"/>
      <c r="HA213" s="304"/>
      <c r="HB213" s="304"/>
      <c r="HC213" s="304"/>
      <c r="HD213" s="304"/>
      <c r="HE213" s="304"/>
      <c r="HF213" s="304"/>
      <c r="HG213" s="304"/>
      <c r="HH213" s="304"/>
      <c r="HI213" s="304"/>
      <c r="HJ213" s="304"/>
      <c r="HK213" s="304"/>
      <c r="HL213" s="304"/>
      <c r="HM213" s="304"/>
      <c r="HN213" s="304"/>
      <c r="HO213" s="304"/>
      <c r="HP213" s="304"/>
      <c r="HQ213" s="304"/>
      <c r="HR213" s="304"/>
      <c r="HS213" s="304"/>
      <c r="HT213" s="304"/>
      <c r="HU213" s="304"/>
      <c r="HV213" s="304"/>
      <c r="HW213" s="304"/>
      <c r="HX213" s="304"/>
      <c r="HY213" s="304"/>
      <c r="HZ213" s="304"/>
      <c r="IA213" s="304"/>
      <c r="IB213" s="304"/>
      <c r="IC213" s="304"/>
      <c r="ID213" s="304"/>
      <c r="IE213" s="304"/>
      <c r="IF213" s="304"/>
      <c r="IG213" s="304"/>
      <c r="IH213" s="304"/>
      <c r="II213" s="304"/>
      <c r="IJ213" s="304"/>
      <c r="IK213" s="304"/>
      <c r="IL213" s="304"/>
      <c r="IM213" s="304"/>
      <c r="IN213" s="304"/>
      <c r="IO213" s="304"/>
      <c r="IP213" s="304"/>
      <c r="IQ213" s="304"/>
      <c r="IR213" s="304"/>
      <c r="IS213" s="304"/>
      <c r="IT213" s="304"/>
      <c r="IU213" s="304"/>
      <c r="IV213" s="304"/>
    </row>
    <row r="214" spans="1:256" ht="23.25">
      <c r="A214" s="339" t="s">
        <v>353</v>
      </c>
      <c r="B214" s="354" t="s">
        <v>354</v>
      </c>
      <c r="C214" s="355">
        <f t="shared" si="32"/>
        <v>0.09302325581395349</v>
      </c>
      <c r="D214" s="356"/>
      <c r="E214" s="343">
        <v>40000</v>
      </c>
      <c r="F214" s="344"/>
      <c r="G214" s="376">
        <f t="shared" si="29"/>
        <v>1</v>
      </c>
      <c r="H214" s="343">
        <f t="shared" si="31"/>
        <v>40000</v>
      </c>
      <c r="I214" s="343">
        <v>32000</v>
      </c>
      <c r="J214" s="376">
        <f t="shared" si="0"/>
        <v>0.2</v>
      </c>
      <c r="K214" s="348">
        <v>8000</v>
      </c>
      <c r="M214" s="174">
        <f t="shared" si="1"/>
        <v>8000</v>
      </c>
      <c r="O214" s="144"/>
      <c r="FH214" s="304"/>
      <c r="FI214" s="304"/>
      <c r="FJ214" s="304"/>
      <c r="FK214" s="304"/>
      <c r="FL214" s="304"/>
      <c r="FM214" s="304"/>
      <c r="FN214" s="304"/>
      <c r="FO214" s="304"/>
      <c r="FP214" s="304"/>
      <c r="FQ214" s="304"/>
      <c r="FR214" s="304"/>
      <c r="FS214" s="304"/>
      <c r="FT214" s="304"/>
      <c r="FU214" s="304"/>
      <c r="FV214" s="304"/>
      <c r="FW214" s="304"/>
      <c r="FX214" s="304"/>
      <c r="FY214" s="304"/>
      <c r="FZ214" s="304"/>
      <c r="GA214" s="304"/>
      <c r="GB214" s="304"/>
      <c r="GC214" s="304"/>
      <c r="GD214" s="304"/>
      <c r="GE214" s="304"/>
      <c r="GF214" s="304"/>
      <c r="GG214" s="304"/>
      <c r="GH214" s="304"/>
      <c r="GI214" s="304"/>
      <c r="GJ214" s="304"/>
      <c r="GK214" s="304"/>
      <c r="GL214" s="304"/>
      <c r="GM214" s="304"/>
      <c r="GN214" s="304"/>
      <c r="GO214" s="304"/>
      <c r="GP214" s="304"/>
      <c r="GQ214" s="304"/>
      <c r="GR214" s="304"/>
      <c r="GS214" s="304"/>
      <c r="GT214" s="304"/>
      <c r="GU214" s="304"/>
      <c r="GV214" s="304"/>
      <c r="GW214" s="304"/>
      <c r="GX214" s="304"/>
      <c r="GY214" s="304"/>
      <c r="GZ214" s="304"/>
      <c r="HA214" s="304"/>
      <c r="HB214" s="304"/>
      <c r="HC214" s="304"/>
      <c r="HD214" s="304"/>
      <c r="HE214" s="304"/>
      <c r="HF214" s="304"/>
      <c r="HG214" s="304"/>
      <c r="HH214" s="304"/>
      <c r="HI214" s="304"/>
      <c r="HJ214" s="304"/>
      <c r="HK214" s="304"/>
      <c r="HL214" s="304"/>
      <c r="HM214" s="304"/>
      <c r="HN214" s="304"/>
      <c r="HO214" s="304"/>
      <c r="HP214" s="304"/>
      <c r="HQ214" s="304"/>
      <c r="HR214" s="304"/>
      <c r="HS214" s="304"/>
      <c r="HT214" s="304"/>
      <c r="HU214" s="304"/>
      <c r="HV214" s="304"/>
      <c r="HW214" s="304"/>
      <c r="HX214" s="304"/>
      <c r="HY214" s="304"/>
      <c r="HZ214" s="304"/>
      <c r="IA214" s="304"/>
      <c r="IB214" s="304"/>
      <c r="IC214" s="304"/>
      <c r="ID214" s="304"/>
      <c r="IE214" s="304"/>
      <c r="IF214" s="304"/>
      <c r="IG214" s="304"/>
      <c r="IH214" s="304"/>
      <c r="II214" s="304"/>
      <c r="IJ214" s="304"/>
      <c r="IK214" s="304"/>
      <c r="IL214" s="304"/>
      <c r="IM214" s="304"/>
      <c r="IN214" s="304"/>
      <c r="IO214" s="304"/>
      <c r="IP214" s="304"/>
      <c r="IQ214" s="304"/>
      <c r="IR214" s="304"/>
      <c r="IS214" s="304"/>
      <c r="IT214" s="304"/>
      <c r="IU214" s="304"/>
      <c r="IV214" s="304"/>
    </row>
    <row r="215" spans="1:256" ht="23.25">
      <c r="A215" s="339" t="s">
        <v>355</v>
      </c>
      <c r="B215" s="354" t="s">
        <v>356</v>
      </c>
      <c r="C215" s="355">
        <f t="shared" si="32"/>
        <v>0.03488372093023256</v>
      </c>
      <c r="D215" s="356"/>
      <c r="E215" s="343">
        <v>15000</v>
      </c>
      <c r="F215" s="344"/>
      <c r="G215" s="376">
        <f t="shared" si="29"/>
        <v>1</v>
      </c>
      <c r="H215" s="343">
        <f t="shared" si="31"/>
        <v>15000</v>
      </c>
      <c r="I215" s="343">
        <v>12000</v>
      </c>
      <c r="J215" s="376">
        <f t="shared" si="0"/>
        <v>0.2</v>
      </c>
      <c r="K215" s="348">
        <v>3000</v>
      </c>
      <c r="M215" s="174">
        <f t="shared" si="1"/>
        <v>3000</v>
      </c>
      <c r="O215" s="144"/>
      <c r="FH215" s="304"/>
      <c r="FI215" s="304"/>
      <c r="FJ215" s="304"/>
      <c r="FK215" s="304"/>
      <c r="FL215" s="304"/>
      <c r="FM215" s="304"/>
      <c r="FN215" s="304"/>
      <c r="FO215" s="304"/>
      <c r="FP215" s="304"/>
      <c r="FQ215" s="304"/>
      <c r="FR215" s="304"/>
      <c r="FS215" s="304"/>
      <c r="FT215" s="304"/>
      <c r="FU215" s="304"/>
      <c r="FV215" s="304"/>
      <c r="FW215" s="304"/>
      <c r="FX215" s="304"/>
      <c r="FY215" s="304"/>
      <c r="FZ215" s="304"/>
      <c r="GA215" s="304"/>
      <c r="GB215" s="304"/>
      <c r="GC215" s="304"/>
      <c r="GD215" s="304"/>
      <c r="GE215" s="304"/>
      <c r="GF215" s="304"/>
      <c r="GG215" s="304"/>
      <c r="GH215" s="304"/>
      <c r="GI215" s="304"/>
      <c r="GJ215" s="304"/>
      <c r="GK215" s="304"/>
      <c r="GL215" s="304"/>
      <c r="GM215" s="304"/>
      <c r="GN215" s="304"/>
      <c r="GO215" s="304"/>
      <c r="GP215" s="304"/>
      <c r="GQ215" s="304"/>
      <c r="GR215" s="304"/>
      <c r="GS215" s="304"/>
      <c r="GT215" s="304"/>
      <c r="GU215" s="304"/>
      <c r="GV215" s="304"/>
      <c r="GW215" s="304"/>
      <c r="GX215" s="304"/>
      <c r="GY215" s="304"/>
      <c r="GZ215" s="304"/>
      <c r="HA215" s="304"/>
      <c r="HB215" s="304"/>
      <c r="HC215" s="304"/>
      <c r="HD215" s="304"/>
      <c r="HE215" s="304"/>
      <c r="HF215" s="304"/>
      <c r="HG215" s="304"/>
      <c r="HH215" s="304"/>
      <c r="HI215" s="304"/>
      <c r="HJ215" s="304"/>
      <c r="HK215" s="304"/>
      <c r="HL215" s="304"/>
      <c r="HM215" s="304"/>
      <c r="HN215" s="304"/>
      <c r="HO215" s="304"/>
      <c r="HP215" s="304"/>
      <c r="HQ215" s="304"/>
      <c r="HR215" s="304"/>
      <c r="HS215" s="304"/>
      <c r="HT215" s="304"/>
      <c r="HU215" s="304"/>
      <c r="HV215" s="304"/>
      <c r="HW215" s="304"/>
      <c r="HX215" s="304"/>
      <c r="HY215" s="304"/>
      <c r="HZ215" s="304"/>
      <c r="IA215" s="304"/>
      <c r="IB215" s="304"/>
      <c r="IC215" s="304"/>
      <c r="ID215" s="304"/>
      <c r="IE215" s="304"/>
      <c r="IF215" s="304"/>
      <c r="IG215" s="304"/>
      <c r="IH215" s="304"/>
      <c r="II215" s="304"/>
      <c r="IJ215" s="304"/>
      <c r="IK215" s="304"/>
      <c r="IL215" s="304"/>
      <c r="IM215" s="304"/>
      <c r="IN215" s="304"/>
      <c r="IO215" s="304"/>
      <c r="IP215" s="304"/>
      <c r="IQ215" s="304"/>
      <c r="IR215" s="304"/>
      <c r="IS215" s="304"/>
      <c r="IT215" s="304"/>
      <c r="IU215" s="304"/>
      <c r="IV215" s="304"/>
    </row>
    <row r="216" spans="1:256" ht="23.25">
      <c r="A216" s="339" t="s">
        <v>357</v>
      </c>
      <c r="B216" s="354" t="s">
        <v>358</v>
      </c>
      <c r="C216" s="355">
        <f t="shared" si="32"/>
        <v>0.03488372093023256</v>
      </c>
      <c r="D216" s="356"/>
      <c r="E216" s="343">
        <v>15000</v>
      </c>
      <c r="F216" s="344"/>
      <c r="G216" s="376">
        <f t="shared" si="29"/>
        <v>1</v>
      </c>
      <c r="H216" s="343">
        <f t="shared" si="31"/>
        <v>15000</v>
      </c>
      <c r="I216" s="343">
        <v>15000</v>
      </c>
      <c r="J216" s="376">
        <f t="shared" si="0"/>
        <v>0</v>
      </c>
      <c r="K216" s="348">
        <v>0</v>
      </c>
      <c r="M216" s="174">
        <f t="shared" si="1"/>
        <v>0</v>
      </c>
      <c r="O216" s="144"/>
      <c r="FH216" s="304"/>
      <c r="FI216" s="304"/>
      <c r="FJ216" s="304"/>
      <c r="FK216" s="304"/>
      <c r="FL216" s="304"/>
      <c r="FM216" s="304"/>
      <c r="FN216" s="304"/>
      <c r="FO216" s="304"/>
      <c r="FP216" s="304"/>
      <c r="FQ216" s="304"/>
      <c r="FR216" s="304"/>
      <c r="FS216" s="304"/>
      <c r="FT216" s="304"/>
      <c r="FU216" s="304"/>
      <c r="FV216" s="304"/>
      <c r="FW216" s="304"/>
      <c r="FX216" s="304"/>
      <c r="FY216" s="304"/>
      <c r="FZ216" s="304"/>
      <c r="GA216" s="304"/>
      <c r="GB216" s="304"/>
      <c r="GC216" s="304"/>
      <c r="GD216" s="304"/>
      <c r="GE216" s="304"/>
      <c r="GF216" s="304"/>
      <c r="GG216" s="304"/>
      <c r="GH216" s="304"/>
      <c r="GI216" s="304"/>
      <c r="GJ216" s="304"/>
      <c r="GK216" s="304"/>
      <c r="GL216" s="304"/>
      <c r="GM216" s="304"/>
      <c r="GN216" s="304"/>
      <c r="GO216" s="304"/>
      <c r="GP216" s="304"/>
      <c r="GQ216" s="304"/>
      <c r="GR216" s="304"/>
      <c r="GS216" s="304"/>
      <c r="GT216" s="304"/>
      <c r="GU216" s="304"/>
      <c r="GV216" s="304"/>
      <c r="GW216" s="304"/>
      <c r="GX216" s="304"/>
      <c r="GY216" s="304"/>
      <c r="GZ216" s="304"/>
      <c r="HA216" s="304"/>
      <c r="HB216" s="304"/>
      <c r="HC216" s="304"/>
      <c r="HD216" s="304"/>
      <c r="HE216" s="304"/>
      <c r="HF216" s="304"/>
      <c r="HG216" s="304"/>
      <c r="HH216" s="304"/>
      <c r="HI216" s="304"/>
      <c r="HJ216" s="304"/>
      <c r="HK216" s="304"/>
      <c r="HL216" s="304"/>
      <c r="HM216" s="304"/>
      <c r="HN216" s="304"/>
      <c r="HO216" s="304"/>
      <c r="HP216" s="304"/>
      <c r="HQ216" s="304"/>
      <c r="HR216" s="304"/>
      <c r="HS216" s="304"/>
      <c r="HT216" s="304"/>
      <c r="HU216" s="304"/>
      <c r="HV216" s="304"/>
      <c r="HW216" s="304"/>
      <c r="HX216" s="304"/>
      <c r="HY216" s="304"/>
      <c r="HZ216" s="304"/>
      <c r="IA216" s="304"/>
      <c r="IB216" s="304"/>
      <c r="IC216" s="304"/>
      <c r="ID216" s="304"/>
      <c r="IE216" s="304"/>
      <c r="IF216" s="304"/>
      <c r="IG216" s="304"/>
      <c r="IH216" s="304"/>
      <c r="II216" s="304"/>
      <c r="IJ216" s="304"/>
      <c r="IK216" s="304"/>
      <c r="IL216" s="304"/>
      <c r="IM216" s="304"/>
      <c r="IN216" s="304"/>
      <c r="IO216" s="304"/>
      <c r="IP216" s="304"/>
      <c r="IQ216" s="304"/>
      <c r="IR216" s="304"/>
      <c r="IS216" s="304"/>
      <c r="IT216" s="304"/>
      <c r="IU216" s="304"/>
      <c r="IV216" s="304"/>
    </row>
    <row r="217" spans="1:256" ht="23.25">
      <c r="A217" s="339" t="s">
        <v>359</v>
      </c>
      <c r="B217" s="354" t="s">
        <v>360</v>
      </c>
      <c r="C217" s="355">
        <f t="shared" si="32"/>
        <v>0.02558139534883721</v>
      </c>
      <c r="D217" s="356"/>
      <c r="E217" s="343">
        <v>11000</v>
      </c>
      <c r="F217" s="344"/>
      <c r="G217" s="376">
        <f t="shared" si="29"/>
        <v>1</v>
      </c>
      <c r="H217" s="343">
        <f t="shared" si="31"/>
        <v>11000</v>
      </c>
      <c r="I217" s="343">
        <v>11000</v>
      </c>
      <c r="J217" s="376">
        <f t="shared" si="0"/>
        <v>0</v>
      </c>
      <c r="K217" s="348">
        <v>0</v>
      </c>
      <c r="M217" s="174">
        <f t="shared" si="1"/>
        <v>0</v>
      </c>
      <c r="O217" s="144"/>
      <c r="FH217" s="304"/>
      <c r="FI217" s="304"/>
      <c r="FJ217" s="304"/>
      <c r="FK217" s="304"/>
      <c r="FL217" s="304"/>
      <c r="FM217" s="304"/>
      <c r="FN217" s="304"/>
      <c r="FO217" s="304"/>
      <c r="FP217" s="304"/>
      <c r="FQ217" s="304"/>
      <c r="FR217" s="304"/>
      <c r="FS217" s="304"/>
      <c r="FT217" s="304"/>
      <c r="FU217" s="304"/>
      <c r="FV217" s="304"/>
      <c r="FW217" s="304"/>
      <c r="FX217" s="304"/>
      <c r="FY217" s="304"/>
      <c r="FZ217" s="304"/>
      <c r="GA217" s="304"/>
      <c r="GB217" s="304"/>
      <c r="GC217" s="304"/>
      <c r="GD217" s="304"/>
      <c r="GE217" s="304"/>
      <c r="GF217" s="304"/>
      <c r="GG217" s="304"/>
      <c r="GH217" s="304"/>
      <c r="GI217" s="304"/>
      <c r="GJ217" s="304"/>
      <c r="GK217" s="304"/>
      <c r="GL217" s="304"/>
      <c r="GM217" s="304"/>
      <c r="GN217" s="304"/>
      <c r="GO217" s="304"/>
      <c r="GP217" s="304"/>
      <c r="GQ217" s="304"/>
      <c r="GR217" s="304"/>
      <c r="GS217" s="304"/>
      <c r="GT217" s="304"/>
      <c r="GU217" s="304"/>
      <c r="GV217" s="304"/>
      <c r="GW217" s="304"/>
      <c r="GX217" s="304"/>
      <c r="GY217" s="304"/>
      <c r="GZ217" s="304"/>
      <c r="HA217" s="304"/>
      <c r="HB217" s="304"/>
      <c r="HC217" s="304"/>
      <c r="HD217" s="304"/>
      <c r="HE217" s="304"/>
      <c r="HF217" s="304"/>
      <c r="HG217" s="304"/>
      <c r="HH217" s="304"/>
      <c r="HI217" s="304"/>
      <c r="HJ217" s="304"/>
      <c r="HK217" s="304"/>
      <c r="HL217" s="304"/>
      <c r="HM217" s="304"/>
      <c r="HN217" s="304"/>
      <c r="HO217" s="304"/>
      <c r="HP217" s="304"/>
      <c r="HQ217" s="304"/>
      <c r="HR217" s="304"/>
      <c r="HS217" s="304"/>
      <c r="HT217" s="304"/>
      <c r="HU217" s="304"/>
      <c r="HV217" s="304"/>
      <c r="HW217" s="304"/>
      <c r="HX217" s="304"/>
      <c r="HY217" s="304"/>
      <c r="HZ217" s="304"/>
      <c r="IA217" s="304"/>
      <c r="IB217" s="304"/>
      <c r="IC217" s="304"/>
      <c r="ID217" s="304"/>
      <c r="IE217" s="304"/>
      <c r="IF217" s="304"/>
      <c r="IG217" s="304"/>
      <c r="IH217" s="304"/>
      <c r="II217" s="304"/>
      <c r="IJ217" s="304"/>
      <c r="IK217" s="304"/>
      <c r="IL217" s="304"/>
      <c r="IM217" s="304"/>
      <c r="IN217" s="304"/>
      <c r="IO217" s="304"/>
      <c r="IP217" s="304"/>
      <c r="IQ217" s="304"/>
      <c r="IR217" s="304"/>
      <c r="IS217" s="304"/>
      <c r="IT217" s="304"/>
      <c r="IU217" s="304"/>
      <c r="IV217" s="304"/>
    </row>
    <row r="218" spans="1:256" ht="23.25">
      <c r="A218" s="339" t="s">
        <v>361</v>
      </c>
      <c r="B218" s="354" t="s">
        <v>362</v>
      </c>
      <c r="C218" s="355">
        <f t="shared" si="32"/>
        <v>0.08604651162790698</v>
      </c>
      <c r="D218" s="356"/>
      <c r="E218" s="343">
        <v>37000</v>
      </c>
      <c r="F218" s="344"/>
      <c r="G218" s="376">
        <f t="shared" si="29"/>
        <v>1</v>
      </c>
      <c r="H218" s="343">
        <f t="shared" si="31"/>
        <v>37000</v>
      </c>
      <c r="I218" s="343">
        <v>0</v>
      </c>
      <c r="J218" s="376">
        <f t="shared" si="0"/>
        <v>1</v>
      </c>
      <c r="K218" s="348">
        <v>37000</v>
      </c>
      <c r="M218" s="174">
        <f t="shared" si="1"/>
        <v>37000</v>
      </c>
      <c r="O218" s="144"/>
      <c r="FH218" s="304"/>
      <c r="FI218" s="304"/>
      <c r="FJ218" s="304"/>
      <c r="FK218" s="304"/>
      <c r="FL218" s="304"/>
      <c r="FM218" s="304"/>
      <c r="FN218" s="304"/>
      <c r="FO218" s="304"/>
      <c r="FP218" s="304"/>
      <c r="FQ218" s="304"/>
      <c r="FR218" s="304"/>
      <c r="FS218" s="304"/>
      <c r="FT218" s="304"/>
      <c r="FU218" s="304"/>
      <c r="FV218" s="304"/>
      <c r="FW218" s="304"/>
      <c r="FX218" s="304"/>
      <c r="FY218" s="304"/>
      <c r="FZ218" s="304"/>
      <c r="GA218" s="304"/>
      <c r="GB218" s="304"/>
      <c r="GC218" s="304"/>
      <c r="GD218" s="304"/>
      <c r="GE218" s="304"/>
      <c r="GF218" s="304"/>
      <c r="GG218" s="304"/>
      <c r="GH218" s="304"/>
      <c r="GI218" s="304"/>
      <c r="GJ218" s="304"/>
      <c r="GK218" s="304"/>
      <c r="GL218" s="304"/>
      <c r="GM218" s="304"/>
      <c r="GN218" s="304"/>
      <c r="GO218" s="304"/>
      <c r="GP218" s="304"/>
      <c r="GQ218" s="304"/>
      <c r="GR218" s="304"/>
      <c r="GS218" s="304"/>
      <c r="GT218" s="304"/>
      <c r="GU218" s="304"/>
      <c r="GV218" s="304"/>
      <c r="GW218" s="304"/>
      <c r="GX218" s="304"/>
      <c r="GY218" s="304"/>
      <c r="GZ218" s="304"/>
      <c r="HA218" s="304"/>
      <c r="HB218" s="304"/>
      <c r="HC218" s="304"/>
      <c r="HD218" s="304"/>
      <c r="HE218" s="304"/>
      <c r="HF218" s="304"/>
      <c r="HG218" s="304"/>
      <c r="HH218" s="304"/>
      <c r="HI218" s="304"/>
      <c r="HJ218" s="304"/>
      <c r="HK218" s="304"/>
      <c r="HL218" s="304"/>
      <c r="HM218" s="304"/>
      <c r="HN218" s="304"/>
      <c r="HO218" s="304"/>
      <c r="HP218" s="304"/>
      <c r="HQ218" s="304"/>
      <c r="HR218" s="304"/>
      <c r="HS218" s="304"/>
      <c r="HT218" s="304"/>
      <c r="HU218" s="304"/>
      <c r="HV218" s="304"/>
      <c r="HW218" s="304"/>
      <c r="HX218" s="304"/>
      <c r="HY218" s="304"/>
      <c r="HZ218" s="304"/>
      <c r="IA218" s="304"/>
      <c r="IB218" s="304"/>
      <c r="IC218" s="304"/>
      <c r="ID218" s="304"/>
      <c r="IE218" s="304"/>
      <c r="IF218" s="304"/>
      <c r="IG218" s="304"/>
      <c r="IH218" s="304"/>
      <c r="II218" s="304"/>
      <c r="IJ218" s="304"/>
      <c r="IK218" s="304"/>
      <c r="IL218" s="304"/>
      <c r="IM218" s="304"/>
      <c r="IN218" s="304"/>
      <c r="IO218" s="304"/>
      <c r="IP218" s="304"/>
      <c r="IQ218" s="304"/>
      <c r="IR218" s="304"/>
      <c r="IS218" s="304"/>
      <c r="IT218" s="304"/>
      <c r="IU218" s="304"/>
      <c r="IV218" s="304"/>
    </row>
    <row r="219" spans="1:256" ht="23.25">
      <c r="A219" s="339" t="s">
        <v>363</v>
      </c>
      <c r="B219" s="354" t="s">
        <v>364</v>
      </c>
      <c r="C219" s="355">
        <f t="shared" si="32"/>
        <v>0.020930232558139535</v>
      </c>
      <c r="D219" s="356"/>
      <c r="E219" s="343">
        <v>9000</v>
      </c>
      <c r="F219" s="344"/>
      <c r="G219" s="376">
        <f t="shared" si="29"/>
        <v>1</v>
      </c>
      <c r="H219" s="343">
        <f t="shared" si="31"/>
        <v>9000</v>
      </c>
      <c r="I219" s="343">
        <v>9000</v>
      </c>
      <c r="J219" s="376">
        <f t="shared" si="0"/>
        <v>0</v>
      </c>
      <c r="K219" s="348">
        <v>0</v>
      </c>
      <c r="M219" s="174">
        <f t="shared" si="1"/>
        <v>0</v>
      </c>
      <c r="O219" s="144"/>
      <c r="FH219" s="304"/>
      <c r="FI219" s="304"/>
      <c r="FJ219" s="304"/>
      <c r="FK219" s="304"/>
      <c r="FL219" s="304"/>
      <c r="FM219" s="304"/>
      <c r="FN219" s="304"/>
      <c r="FO219" s="304"/>
      <c r="FP219" s="304"/>
      <c r="FQ219" s="304"/>
      <c r="FR219" s="304"/>
      <c r="FS219" s="304"/>
      <c r="FT219" s="304"/>
      <c r="FU219" s="304"/>
      <c r="FV219" s="304"/>
      <c r="FW219" s="304"/>
      <c r="FX219" s="304"/>
      <c r="FY219" s="304"/>
      <c r="FZ219" s="304"/>
      <c r="GA219" s="304"/>
      <c r="GB219" s="304"/>
      <c r="GC219" s="304"/>
      <c r="GD219" s="304"/>
      <c r="GE219" s="304"/>
      <c r="GF219" s="304"/>
      <c r="GG219" s="304"/>
      <c r="GH219" s="304"/>
      <c r="GI219" s="304"/>
      <c r="GJ219" s="304"/>
      <c r="GK219" s="304"/>
      <c r="GL219" s="304"/>
      <c r="GM219" s="304"/>
      <c r="GN219" s="304"/>
      <c r="GO219" s="304"/>
      <c r="GP219" s="304"/>
      <c r="GQ219" s="304"/>
      <c r="GR219" s="304"/>
      <c r="GS219" s="304"/>
      <c r="GT219" s="304"/>
      <c r="GU219" s="304"/>
      <c r="GV219" s="304"/>
      <c r="GW219" s="304"/>
      <c r="GX219" s="304"/>
      <c r="GY219" s="304"/>
      <c r="GZ219" s="304"/>
      <c r="HA219" s="304"/>
      <c r="HB219" s="304"/>
      <c r="HC219" s="304"/>
      <c r="HD219" s="304"/>
      <c r="HE219" s="304"/>
      <c r="HF219" s="304"/>
      <c r="HG219" s="304"/>
      <c r="HH219" s="304"/>
      <c r="HI219" s="304"/>
      <c r="HJ219" s="304"/>
      <c r="HK219" s="304"/>
      <c r="HL219" s="304"/>
      <c r="HM219" s="304"/>
      <c r="HN219" s="304"/>
      <c r="HO219" s="304"/>
      <c r="HP219" s="304"/>
      <c r="HQ219" s="304"/>
      <c r="HR219" s="304"/>
      <c r="HS219" s="304"/>
      <c r="HT219" s="304"/>
      <c r="HU219" s="304"/>
      <c r="HV219" s="304"/>
      <c r="HW219" s="304"/>
      <c r="HX219" s="304"/>
      <c r="HY219" s="304"/>
      <c r="HZ219" s="304"/>
      <c r="IA219" s="304"/>
      <c r="IB219" s="304"/>
      <c r="IC219" s="304"/>
      <c r="ID219" s="304"/>
      <c r="IE219" s="304"/>
      <c r="IF219" s="304"/>
      <c r="IG219" s="304"/>
      <c r="IH219" s="304"/>
      <c r="II219" s="304"/>
      <c r="IJ219" s="304"/>
      <c r="IK219" s="304"/>
      <c r="IL219" s="304"/>
      <c r="IM219" s="304"/>
      <c r="IN219" s="304"/>
      <c r="IO219" s="304"/>
      <c r="IP219" s="304"/>
      <c r="IQ219" s="304"/>
      <c r="IR219" s="304"/>
      <c r="IS219" s="304"/>
      <c r="IT219" s="304"/>
      <c r="IU219" s="304"/>
      <c r="IV219" s="304"/>
    </row>
    <row r="220" spans="1:256" ht="23.25">
      <c r="A220" s="339" t="s">
        <v>365</v>
      </c>
      <c r="B220" s="354" t="s">
        <v>366</v>
      </c>
      <c r="C220" s="355">
        <f t="shared" si="32"/>
        <v>0.10465116279069768</v>
      </c>
      <c r="D220" s="356"/>
      <c r="E220" s="343">
        <v>45000</v>
      </c>
      <c r="F220" s="344"/>
      <c r="G220" s="376">
        <f t="shared" si="29"/>
        <v>1</v>
      </c>
      <c r="H220" s="343">
        <f t="shared" si="31"/>
        <v>45000</v>
      </c>
      <c r="I220" s="343">
        <v>45000</v>
      </c>
      <c r="J220" s="376">
        <f t="shared" si="0"/>
        <v>0</v>
      </c>
      <c r="K220" s="348">
        <v>0</v>
      </c>
      <c r="M220" s="174">
        <f t="shared" si="1"/>
        <v>0</v>
      </c>
      <c r="O220" s="144"/>
      <c r="FH220" s="304"/>
      <c r="FI220" s="304"/>
      <c r="FJ220" s="304"/>
      <c r="FK220" s="304"/>
      <c r="FL220" s="304"/>
      <c r="FM220" s="304"/>
      <c r="FN220" s="304"/>
      <c r="FO220" s="304"/>
      <c r="FP220" s="304"/>
      <c r="FQ220" s="304"/>
      <c r="FR220" s="304"/>
      <c r="FS220" s="304"/>
      <c r="FT220" s="304"/>
      <c r="FU220" s="304"/>
      <c r="FV220" s="304"/>
      <c r="FW220" s="304"/>
      <c r="FX220" s="304"/>
      <c r="FY220" s="304"/>
      <c r="FZ220" s="304"/>
      <c r="GA220" s="304"/>
      <c r="GB220" s="304"/>
      <c r="GC220" s="304"/>
      <c r="GD220" s="304"/>
      <c r="GE220" s="304"/>
      <c r="GF220" s="304"/>
      <c r="GG220" s="304"/>
      <c r="GH220" s="304"/>
      <c r="GI220" s="304"/>
      <c r="GJ220" s="304"/>
      <c r="GK220" s="304"/>
      <c r="GL220" s="304"/>
      <c r="GM220" s="304"/>
      <c r="GN220" s="304"/>
      <c r="GO220" s="304"/>
      <c r="GP220" s="304"/>
      <c r="GQ220" s="304"/>
      <c r="GR220" s="304"/>
      <c r="GS220" s="304"/>
      <c r="GT220" s="304"/>
      <c r="GU220" s="304"/>
      <c r="GV220" s="304"/>
      <c r="GW220" s="304"/>
      <c r="GX220" s="304"/>
      <c r="GY220" s="304"/>
      <c r="GZ220" s="304"/>
      <c r="HA220" s="304"/>
      <c r="HB220" s="304"/>
      <c r="HC220" s="304"/>
      <c r="HD220" s="304"/>
      <c r="HE220" s="304"/>
      <c r="HF220" s="304"/>
      <c r="HG220" s="304"/>
      <c r="HH220" s="304"/>
      <c r="HI220" s="304"/>
      <c r="HJ220" s="304"/>
      <c r="HK220" s="304"/>
      <c r="HL220" s="304"/>
      <c r="HM220" s="304"/>
      <c r="HN220" s="304"/>
      <c r="HO220" s="304"/>
      <c r="HP220" s="304"/>
      <c r="HQ220" s="304"/>
      <c r="HR220" s="304"/>
      <c r="HS220" s="304"/>
      <c r="HT220" s="304"/>
      <c r="HU220" s="304"/>
      <c r="HV220" s="304"/>
      <c r="HW220" s="304"/>
      <c r="HX220" s="304"/>
      <c r="HY220" s="304"/>
      <c r="HZ220" s="304"/>
      <c r="IA220" s="304"/>
      <c r="IB220" s="304"/>
      <c r="IC220" s="304"/>
      <c r="ID220" s="304"/>
      <c r="IE220" s="304"/>
      <c r="IF220" s="304"/>
      <c r="IG220" s="304"/>
      <c r="IH220" s="304"/>
      <c r="II220" s="304"/>
      <c r="IJ220" s="304"/>
      <c r="IK220" s="304"/>
      <c r="IL220" s="304"/>
      <c r="IM220" s="304"/>
      <c r="IN220" s="304"/>
      <c r="IO220" s="304"/>
      <c r="IP220" s="304"/>
      <c r="IQ220" s="304"/>
      <c r="IR220" s="304"/>
      <c r="IS220" s="304"/>
      <c r="IT220" s="304"/>
      <c r="IU220" s="304"/>
      <c r="IV220" s="304"/>
    </row>
    <row r="221" spans="1:256" ht="23.25">
      <c r="A221" s="339" t="s">
        <v>367</v>
      </c>
      <c r="B221" s="354" t="s">
        <v>368</v>
      </c>
      <c r="C221" s="355">
        <f t="shared" si="32"/>
        <v>0.05116279069767442</v>
      </c>
      <c r="D221" s="356"/>
      <c r="E221" s="343">
        <v>22000</v>
      </c>
      <c r="F221" s="344"/>
      <c r="G221" s="376">
        <f t="shared" si="29"/>
        <v>1</v>
      </c>
      <c r="H221" s="343">
        <f t="shared" si="31"/>
        <v>22000</v>
      </c>
      <c r="I221" s="343">
        <v>22000</v>
      </c>
      <c r="J221" s="376">
        <f t="shared" si="0"/>
        <v>0</v>
      </c>
      <c r="K221" s="348">
        <v>0</v>
      </c>
      <c r="M221" s="174">
        <f t="shared" si="1"/>
        <v>0</v>
      </c>
      <c r="O221" s="144"/>
      <c r="FH221" s="304"/>
      <c r="FI221" s="304"/>
      <c r="FJ221" s="304"/>
      <c r="FK221" s="304"/>
      <c r="FL221" s="304"/>
      <c r="FM221" s="304"/>
      <c r="FN221" s="304"/>
      <c r="FO221" s="304"/>
      <c r="FP221" s="304"/>
      <c r="FQ221" s="304"/>
      <c r="FR221" s="304"/>
      <c r="FS221" s="304"/>
      <c r="FT221" s="304"/>
      <c r="FU221" s="304"/>
      <c r="FV221" s="304"/>
      <c r="FW221" s="304"/>
      <c r="FX221" s="304"/>
      <c r="FY221" s="304"/>
      <c r="FZ221" s="304"/>
      <c r="GA221" s="304"/>
      <c r="GB221" s="304"/>
      <c r="GC221" s="304"/>
      <c r="GD221" s="304"/>
      <c r="GE221" s="304"/>
      <c r="GF221" s="304"/>
      <c r="GG221" s="304"/>
      <c r="GH221" s="304"/>
      <c r="GI221" s="304"/>
      <c r="GJ221" s="304"/>
      <c r="GK221" s="304"/>
      <c r="GL221" s="304"/>
      <c r="GM221" s="304"/>
      <c r="GN221" s="304"/>
      <c r="GO221" s="304"/>
      <c r="GP221" s="304"/>
      <c r="GQ221" s="304"/>
      <c r="GR221" s="304"/>
      <c r="GS221" s="304"/>
      <c r="GT221" s="304"/>
      <c r="GU221" s="304"/>
      <c r="GV221" s="304"/>
      <c r="GW221" s="304"/>
      <c r="GX221" s="304"/>
      <c r="GY221" s="304"/>
      <c r="GZ221" s="304"/>
      <c r="HA221" s="304"/>
      <c r="HB221" s="304"/>
      <c r="HC221" s="304"/>
      <c r="HD221" s="304"/>
      <c r="HE221" s="304"/>
      <c r="HF221" s="304"/>
      <c r="HG221" s="304"/>
      <c r="HH221" s="304"/>
      <c r="HI221" s="304"/>
      <c r="HJ221" s="304"/>
      <c r="HK221" s="304"/>
      <c r="HL221" s="304"/>
      <c r="HM221" s="304"/>
      <c r="HN221" s="304"/>
      <c r="HO221" s="304"/>
      <c r="HP221" s="304"/>
      <c r="HQ221" s="304"/>
      <c r="HR221" s="304"/>
      <c r="HS221" s="304"/>
      <c r="HT221" s="304"/>
      <c r="HU221" s="304"/>
      <c r="HV221" s="304"/>
      <c r="HW221" s="304"/>
      <c r="HX221" s="304"/>
      <c r="HY221" s="304"/>
      <c r="HZ221" s="304"/>
      <c r="IA221" s="304"/>
      <c r="IB221" s="304"/>
      <c r="IC221" s="304"/>
      <c r="ID221" s="304"/>
      <c r="IE221" s="304"/>
      <c r="IF221" s="304"/>
      <c r="IG221" s="304"/>
      <c r="IH221" s="304"/>
      <c r="II221" s="304"/>
      <c r="IJ221" s="304"/>
      <c r="IK221" s="304"/>
      <c r="IL221" s="304"/>
      <c r="IM221" s="304"/>
      <c r="IN221" s="304"/>
      <c r="IO221" s="304"/>
      <c r="IP221" s="304"/>
      <c r="IQ221" s="304"/>
      <c r="IR221" s="304"/>
      <c r="IS221" s="304"/>
      <c r="IT221" s="304"/>
      <c r="IU221" s="304"/>
      <c r="IV221" s="304"/>
    </row>
    <row r="222" spans="1:256" ht="23.25">
      <c r="A222" s="339" t="s">
        <v>369</v>
      </c>
      <c r="B222" s="354" t="s">
        <v>370</v>
      </c>
      <c r="C222" s="355">
        <f t="shared" si="32"/>
        <v>0.01627906976744186</v>
      </c>
      <c r="D222" s="356"/>
      <c r="E222" s="343">
        <v>7000</v>
      </c>
      <c r="F222" s="344"/>
      <c r="G222" s="376">
        <f t="shared" si="29"/>
        <v>1</v>
      </c>
      <c r="H222" s="343">
        <f t="shared" si="31"/>
        <v>7000</v>
      </c>
      <c r="I222" s="343">
        <v>0</v>
      </c>
      <c r="J222" s="376">
        <f t="shared" si="0"/>
        <v>1</v>
      </c>
      <c r="K222" s="348">
        <v>7000</v>
      </c>
      <c r="M222" s="174">
        <f t="shared" si="1"/>
        <v>7000</v>
      </c>
      <c r="O222" s="144"/>
      <c r="FH222" s="304"/>
      <c r="FI222" s="304"/>
      <c r="FJ222" s="304"/>
      <c r="FK222" s="304"/>
      <c r="FL222" s="304"/>
      <c r="FM222" s="304"/>
      <c r="FN222" s="304"/>
      <c r="FO222" s="304"/>
      <c r="FP222" s="304"/>
      <c r="FQ222" s="304"/>
      <c r="FR222" s="304"/>
      <c r="FS222" s="304"/>
      <c r="FT222" s="304"/>
      <c r="FU222" s="304"/>
      <c r="FV222" s="304"/>
      <c r="FW222" s="304"/>
      <c r="FX222" s="304"/>
      <c r="FY222" s="304"/>
      <c r="FZ222" s="304"/>
      <c r="GA222" s="304"/>
      <c r="GB222" s="304"/>
      <c r="GC222" s="304"/>
      <c r="GD222" s="304"/>
      <c r="GE222" s="304"/>
      <c r="GF222" s="304"/>
      <c r="GG222" s="304"/>
      <c r="GH222" s="304"/>
      <c r="GI222" s="304"/>
      <c r="GJ222" s="304"/>
      <c r="GK222" s="304"/>
      <c r="GL222" s="304"/>
      <c r="GM222" s="304"/>
      <c r="GN222" s="304"/>
      <c r="GO222" s="304"/>
      <c r="GP222" s="304"/>
      <c r="GQ222" s="304"/>
      <c r="GR222" s="304"/>
      <c r="GS222" s="304"/>
      <c r="GT222" s="304"/>
      <c r="GU222" s="304"/>
      <c r="GV222" s="304"/>
      <c r="GW222" s="304"/>
      <c r="GX222" s="304"/>
      <c r="GY222" s="304"/>
      <c r="GZ222" s="304"/>
      <c r="HA222" s="304"/>
      <c r="HB222" s="304"/>
      <c r="HC222" s="304"/>
      <c r="HD222" s="304"/>
      <c r="HE222" s="304"/>
      <c r="HF222" s="304"/>
      <c r="HG222" s="304"/>
      <c r="HH222" s="304"/>
      <c r="HI222" s="304"/>
      <c r="HJ222" s="304"/>
      <c r="HK222" s="304"/>
      <c r="HL222" s="304"/>
      <c r="HM222" s="304"/>
      <c r="HN222" s="304"/>
      <c r="HO222" s="304"/>
      <c r="HP222" s="304"/>
      <c r="HQ222" s="304"/>
      <c r="HR222" s="304"/>
      <c r="HS222" s="304"/>
      <c r="HT222" s="304"/>
      <c r="HU222" s="304"/>
      <c r="HV222" s="304"/>
      <c r="HW222" s="304"/>
      <c r="HX222" s="304"/>
      <c r="HY222" s="304"/>
      <c r="HZ222" s="304"/>
      <c r="IA222" s="304"/>
      <c r="IB222" s="304"/>
      <c r="IC222" s="304"/>
      <c r="ID222" s="304"/>
      <c r="IE222" s="304"/>
      <c r="IF222" s="304"/>
      <c r="IG222" s="304"/>
      <c r="IH222" s="304"/>
      <c r="II222" s="304"/>
      <c r="IJ222" s="304"/>
      <c r="IK222" s="304"/>
      <c r="IL222" s="304"/>
      <c r="IM222" s="304"/>
      <c r="IN222" s="304"/>
      <c r="IO222" s="304"/>
      <c r="IP222" s="304"/>
      <c r="IQ222" s="304"/>
      <c r="IR222" s="304"/>
      <c r="IS222" s="304"/>
      <c r="IT222" s="304"/>
      <c r="IU222" s="304"/>
      <c r="IV222" s="304"/>
    </row>
    <row r="223" spans="1:256" ht="23.25">
      <c r="A223" s="339" t="s">
        <v>371</v>
      </c>
      <c r="B223" s="354" t="s">
        <v>328</v>
      </c>
      <c r="C223" s="355">
        <f t="shared" si="32"/>
        <v>0.04186046511627907</v>
      </c>
      <c r="D223" s="356"/>
      <c r="E223" s="343">
        <v>18000</v>
      </c>
      <c r="F223" s="344"/>
      <c r="G223" s="376">
        <f t="shared" si="29"/>
        <v>1</v>
      </c>
      <c r="H223" s="343">
        <f t="shared" si="31"/>
        <v>18000</v>
      </c>
      <c r="I223" s="343">
        <v>0</v>
      </c>
      <c r="J223" s="376">
        <f t="shared" si="0"/>
        <v>1</v>
      </c>
      <c r="K223" s="348">
        <v>18000</v>
      </c>
      <c r="M223" s="174">
        <f t="shared" si="1"/>
        <v>18000</v>
      </c>
      <c r="O223" s="144"/>
      <c r="FH223" s="304"/>
      <c r="FI223" s="304"/>
      <c r="FJ223" s="304"/>
      <c r="FK223" s="304"/>
      <c r="FL223" s="304"/>
      <c r="FM223" s="304"/>
      <c r="FN223" s="304"/>
      <c r="FO223" s="304"/>
      <c r="FP223" s="304"/>
      <c r="FQ223" s="304"/>
      <c r="FR223" s="304"/>
      <c r="FS223" s="304"/>
      <c r="FT223" s="304"/>
      <c r="FU223" s="304"/>
      <c r="FV223" s="304"/>
      <c r="FW223" s="304"/>
      <c r="FX223" s="304"/>
      <c r="FY223" s="304"/>
      <c r="FZ223" s="304"/>
      <c r="GA223" s="304"/>
      <c r="GB223" s="304"/>
      <c r="GC223" s="304"/>
      <c r="GD223" s="304"/>
      <c r="GE223" s="304"/>
      <c r="GF223" s="304"/>
      <c r="GG223" s="304"/>
      <c r="GH223" s="304"/>
      <c r="GI223" s="304"/>
      <c r="GJ223" s="304"/>
      <c r="GK223" s="304"/>
      <c r="GL223" s="304"/>
      <c r="GM223" s="304"/>
      <c r="GN223" s="304"/>
      <c r="GO223" s="304"/>
      <c r="GP223" s="304"/>
      <c r="GQ223" s="304"/>
      <c r="GR223" s="304"/>
      <c r="GS223" s="304"/>
      <c r="GT223" s="304"/>
      <c r="GU223" s="304"/>
      <c r="GV223" s="304"/>
      <c r="GW223" s="304"/>
      <c r="GX223" s="304"/>
      <c r="GY223" s="304"/>
      <c r="GZ223" s="304"/>
      <c r="HA223" s="304"/>
      <c r="HB223" s="304"/>
      <c r="HC223" s="304"/>
      <c r="HD223" s="304"/>
      <c r="HE223" s="304"/>
      <c r="HF223" s="304"/>
      <c r="HG223" s="304"/>
      <c r="HH223" s="304"/>
      <c r="HI223" s="304"/>
      <c r="HJ223" s="304"/>
      <c r="HK223" s="304"/>
      <c r="HL223" s="304"/>
      <c r="HM223" s="304"/>
      <c r="HN223" s="304"/>
      <c r="HO223" s="304"/>
      <c r="HP223" s="304"/>
      <c r="HQ223" s="304"/>
      <c r="HR223" s="304"/>
      <c r="HS223" s="304"/>
      <c r="HT223" s="304"/>
      <c r="HU223" s="304"/>
      <c r="HV223" s="304"/>
      <c r="HW223" s="304"/>
      <c r="HX223" s="304"/>
      <c r="HY223" s="304"/>
      <c r="HZ223" s="304"/>
      <c r="IA223" s="304"/>
      <c r="IB223" s="304"/>
      <c r="IC223" s="304"/>
      <c r="ID223" s="304"/>
      <c r="IE223" s="304"/>
      <c r="IF223" s="304"/>
      <c r="IG223" s="304"/>
      <c r="IH223" s="304"/>
      <c r="II223" s="304"/>
      <c r="IJ223" s="304"/>
      <c r="IK223" s="304"/>
      <c r="IL223" s="304"/>
      <c r="IM223" s="304"/>
      <c r="IN223" s="304"/>
      <c r="IO223" s="304"/>
      <c r="IP223" s="304"/>
      <c r="IQ223" s="304"/>
      <c r="IR223" s="304"/>
      <c r="IS223" s="304"/>
      <c r="IT223" s="304"/>
      <c r="IU223" s="304"/>
      <c r="IV223" s="304"/>
    </row>
    <row r="224" spans="1:256" ht="23.25">
      <c r="A224" s="339" t="s">
        <v>372</v>
      </c>
      <c r="B224" s="354" t="s">
        <v>373</v>
      </c>
      <c r="C224" s="355">
        <f t="shared" si="32"/>
        <v>0.01627906976744186</v>
      </c>
      <c r="D224" s="356"/>
      <c r="E224" s="343">
        <v>7000</v>
      </c>
      <c r="F224" s="344"/>
      <c r="G224" s="376">
        <f t="shared" si="29"/>
        <v>1</v>
      </c>
      <c r="H224" s="343">
        <f t="shared" si="31"/>
        <v>7000</v>
      </c>
      <c r="I224" s="343">
        <v>0</v>
      </c>
      <c r="J224" s="376">
        <f t="shared" si="0"/>
        <v>1</v>
      </c>
      <c r="K224" s="348">
        <v>7000</v>
      </c>
      <c r="M224" s="174">
        <f t="shared" si="1"/>
        <v>7000</v>
      </c>
      <c r="O224" s="144"/>
      <c r="FH224" s="304"/>
      <c r="FI224" s="304"/>
      <c r="FJ224" s="304"/>
      <c r="FK224" s="304"/>
      <c r="FL224" s="304"/>
      <c r="FM224" s="304"/>
      <c r="FN224" s="304"/>
      <c r="FO224" s="304"/>
      <c r="FP224" s="304"/>
      <c r="FQ224" s="304"/>
      <c r="FR224" s="304"/>
      <c r="FS224" s="304"/>
      <c r="FT224" s="304"/>
      <c r="FU224" s="304"/>
      <c r="FV224" s="304"/>
      <c r="FW224" s="304"/>
      <c r="FX224" s="304"/>
      <c r="FY224" s="304"/>
      <c r="FZ224" s="304"/>
      <c r="GA224" s="304"/>
      <c r="GB224" s="304"/>
      <c r="GC224" s="304"/>
      <c r="GD224" s="304"/>
      <c r="GE224" s="304"/>
      <c r="GF224" s="304"/>
      <c r="GG224" s="304"/>
      <c r="GH224" s="304"/>
      <c r="GI224" s="304"/>
      <c r="GJ224" s="304"/>
      <c r="GK224" s="304"/>
      <c r="GL224" s="304"/>
      <c r="GM224" s="304"/>
      <c r="GN224" s="304"/>
      <c r="GO224" s="304"/>
      <c r="GP224" s="304"/>
      <c r="GQ224" s="304"/>
      <c r="GR224" s="304"/>
      <c r="GS224" s="304"/>
      <c r="GT224" s="304"/>
      <c r="GU224" s="304"/>
      <c r="GV224" s="304"/>
      <c r="GW224" s="304"/>
      <c r="GX224" s="304"/>
      <c r="GY224" s="304"/>
      <c r="GZ224" s="304"/>
      <c r="HA224" s="304"/>
      <c r="HB224" s="304"/>
      <c r="HC224" s="304"/>
      <c r="HD224" s="304"/>
      <c r="HE224" s="304"/>
      <c r="HF224" s="304"/>
      <c r="HG224" s="304"/>
      <c r="HH224" s="304"/>
      <c r="HI224" s="304"/>
      <c r="HJ224" s="304"/>
      <c r="HK224" s="304"/>
      <c r="HL224" s="304"/>
      <c r="HM224" s="304"/>
      <c r="HN224" s="304"/>
      <c r="HO224" s="304"/>
      <c r="HP224" s="304"/>
      <c r="HQ224" s="304"/>
      <c r="HR224" s="304"/>
      <c r="HS224" s="304"/>
      <c r="HT224" s="304"/>
      <c r="HU224" s="304"/>
      <c r="HV224" s="304"/>
      <c r="HW224" s="304"/>
      <c r="HX224" s="304"/>
      <c r="HY224" s="304"/>
      <c r="HZ224" s="304"/>
      <c r="IA224" s="304"/>
      <c r="IB224" s="304"/>
      <c r="IC224" s="304"/>
      <c r="ID224" s="304"/>
      <c r="IE224" s="304"/>
      <c r="IF224" s="304"/>
      <c r="IG224" s="304"/>
      <c r="IH224" s="304"/>
      <c r="II224" s="304"/>
      <c r="IJ224" s="304"/>
      <c r="IK224" s="304"/>
      <c r="IL224" s="304"/>
      <c r="IM224" s="304"/>
      <c r="IN224" s="304"/>
      <c r="IO224" s="304"/>
      <c r="IP224" s="304"/>
      <c r="IQ224" s="304"/>
      <c r="IR224" s="304"/>
      <c r="IS224" s="304"/>
      <c r="IT224" s="304"/>
      <c r="IU224" s="304"/>
      <c r="IV224" s="304"/>
    </row>
    <row r="225" spans="1:256" ht="23.25">
      <c r="A225" s="339" t="s">
        <v>374</v>
      </c>
      <c r="B225" s="354" t="s">
        <v>375</v>
      </c>
      <c r="C225" s="355">
        <f t="shared" si="32"/>
        <v>0.08139534883720931</v>
      </c>
      <c r="D225" s="356"/>
      <c r="E225" s="343">
        <v>35000</v>
      </c>
      <c r="F225" s="344"/>
      <c r="G225" s="376">
        <f t="shared" si="29"/>
        <v>1</v>
      </c>
      <c r="H225" s="343">
        <f t="shared" si="31"/>
        <v>35000</v>
      </c>
      <c r="I225" s="343">
        <v>28000</v>
      </c>
      <c r="J225" s="376">
        <f t="shared" si="0"/>
        <v>0.2</v>
      </c>
      <c r="K225" s="348">
        <v>7000</v>
      </c>
      <c r="M225" s="174">
        <f t="shared" si="1"/>
        <v>7000</v>
      </c>
      <c r="O225" s="144"/>
      <c r="FH225" s="304"/>
      <c r="FI225" s="304"/>
      <c r="FJ225" s="304"/>
      <c r="FK225" s="304"/>
      <c r="FL225" s="304"/>
      <c r="FM225" s="304"/>
      <c r="FN225" s="304"/>
      <c r="FO225" s="304"/>
      <c r="FP225" s="304"/>
      <c r="FQ225" s="304"/>
      <c r="FR225" s="304"/>
      <c r="FS225" s="304"/>
      <c r="FT225" s="304"/>
      <c r="FU225" s="304"/>
      <c r="FV225" s="304"/>
      <c r="FW225" s="304"/>
      <c r="FX225" s="304"/>
      <c r="FY225" s="304"/>
      <c r="FZ225" s="304"/>
      <c r="GA225" s="304"/>
      <c r="GB225" s="304"/>
      <c r="GC225" s="304"/>
      <c r="GD225" s="304"/>
      <c r="GE225" s="304"/>
      <c r="GF225" s="304"/>
      <c r="GG225" s="304"/>
      <c r="GH225" s="304"/>
      <c r="GI225" s="304"/>
      <c r="GJ225" s="304"/>
      <c r="GK225" s="304"/>
      <c r="GL225" s="304"/>
      <c r="GM225" s="304"/>
      <c r="GN225" s="304"/>
      <c r="GO225" s="304"/>
      <c r="GP225" s="304"/>
      <c r="GQ225" s="304"/>
      <c r="GR225" s="304"/>
      <c r="GS225" s="304"/>
      <c r="GT225" s="304"/>
      <c r="GU225" s="304"/>
      <c r="GV225" s="304"/>
      <c r="GW225" s="304"/>
      <c r="GX225" s="304"/>
      <c r="GY225" s="304"/>
      <c r="GZ225" s="304"/>
      <c r="HA225" s="304"/>
      <c r="HB225" s="304"/>
      <c r="HC225" s="304"/>
      <c r="HD225" s="304"/>
      <c r="HE225" s="304"/>
      <c r="HF225" s="304"/>
      <c r="HG225" s="304"/>
      <c r="HH225" s="304"/>
      <c r="HI225" s="304"/>
      <c r="HJ225" s="304"/>
      <c r="HK225" s="304"/>
      <c r="HL225" s="304"/>
      <c r="HM225" s="304"/>
      <c r="HN225" s="304"/>
      <c r="HO225" s="304"/>
      <c r="HP225" s="304"/>
      <c r="HQ225" s="304"/>
      <c r="HR225" s="304"/>
      <c r="HS225" s="304"/>
      <c r="HT225" s="304"/>
      <c r="HU225" s="304"/>
      <c r="HV225" s="304"/>
      <c r="HW225" s="304"/>
      <c r="HX225" s="304"/>
      <c r="HY225" s="304"/>
      <c r="HZ225" s="304"/>
      <c r="IA225" s="304"/>
      <c r="IB225" s="304"/>
      <c r="IC225" s="304"/>
      <c r="ID225" s="304"/>
      <c r="IE225" s="304"/>
      <c r="IF225" s="304"/>
      <c r="IG225" s="304"/>
      <c r="IH225" s="304"/>
      <c r="II225" s="304"/>
      <c r="IJ225" s="304"/>
      <c r="IK225" s="304"/>
      <c r="IL225" s="304"/>
      <c r="IM225" s="304"/>
      <c r="IN225" s="304"/>
      <c r="IO225" s="304"/>
      <c r="IP225" s="304"/>
      <c r="IQ225" s="304"/>
      <c r="IR225" s="304"/>
      <c r="IS225" s="304"/>
      <c r="IT225" s="304"/>
      <c r="IU225" s="304"/>
      <c r="IV225" s="304"/>
    </row>
    <row r="226" spans="1:256" ht="23.25">
      <c r="A226" s="339" t="s">
        <v>376</v>
      </c>
      <c r="B226" s="354" t="s">
        <v>377</v>
      </c>
      <c r="C226" s="355">
        <f t="shared" si="32"/>
        <v>0.03302325581395349</v>
      </c>
      <c r="D226" s="356"/>
      <c r="E226" s="343">
        <v>14200</v>
      </c>
      <c r="F226" s="344"/>
      <c r="G226" s="376">
        <f t="shared" si="29"/>
        <v>1</v>
      </c>
      <c r="H226" s="343">
        <f t="shared" si="31"/>
        <v>14200</v>
      </c>
      <c r="I226" s="343">
        <v>14200</v>
      </c>
      <c r="J226" s="376">
        <f t="shared" si="0"/>
        <v>0</v>
      </c>
      <c r="K226" s="348">
        <v>0</v>
      </c>
      <c r="M226" s="174">
        <f t="shared" si="1"/>
        <v>0</v>
      </c>
      <c r="O226" s="144"/>
      <c r="FH226" s="304"/>
      <c r="FI226" s="304"/>
      <c r="FJ226" s="304"/>
      <c r="FK226" s="304"/>
      <c r="FL226" s="304"/>
      <c r="FM226" s="304"/>
      <c r="FN226" s="304"/>
      <c r="FO226" s="304"/>
      <c r="FP226" s="304"/>
      <c r="FQ226" s="304"/>
      <c r="FR226" s="304"/>
      <c r="FS226" s="304"/>
      <c r="FT226" s="304"/>
      <c r="FU226" s="304"/>
      <c r="FV226" s="304"/>
      <c r="FW226" s="304"/>
      <c r="FX226" s="304"/>
      <c r="FY226" s="304"/>
      <c r="FZ226" s="304"/>
      <c r="GA226" s="304"/>
      <c r="GB226" s="304"/>
      <c r="GC226" s="304"/>
      <c r="GD226" s="304"/>
      <c r="GE226" s="304"/>
      <c r="GF226" s="304"/>
      <c r="GG226" s="304"/>
      <c r="GH226" s="304"/>
      <c r="GI226" s="304"/>
      <c r="GJ226" s="304"/>
      <c r="GK226" s="304"/>
      <c r="GL226" s="304"/>
      <c r="GM226" s="304"/>
      <c r="GN226" s="304"/>
      <c r="GO226" s="304"/>
      <c r="GP226" s="304"/>
      <c r="GQ226" s="304"/>
      <c r="GR226" s="304"/>
      <c r="GS226" s="304"/>
      <c r="GT226" s="304"/>
      <c r="GU226" s="304"/>
      <c r="GV226" s="304"/>
      <c r="GW226" s="304"/>
      <c r="GX226" s="304"/>
      <c r="GY226" s="304"/>
      <c r="GZ226" s="304"/>
      <c r="HA226" s="304"/>
      <c r="HB226" s="304"/>
      <c r="HC226" s="304"/>
      <c r="HD226" s="304"/>
      <c r="HE226" s="304"/>
      <c r="HF226" s="304"/>
      <c r="HG226" s="304"/>
      <c r="HH226" s="304"/>
      <c r="HI226" s="304"/>
      <c r="HJ226" s="304"/>
      <c r="HK226" s="304"/>
      <c r="HL226" s="304"/>
      <c r="HM226" s="304"/>
      <c r="HN226" s="304"/>
      <c r="HO226" s="304"/>
      <c r="HP226" s="304"/>
      <c r="HQ226" s="304"/>
      <c r="HR226" s="304"/>
      <c r="HS226" s="304"/>
      <c r="HT226" s="304"/>
      <c r="HU226" s="304"/>
      <c r="HV226" s="304"/>
      <c r="HW226" s="304"/>
      <c r="HX226" s="304"/>
      <c r="HY226" s="304"/>
      <c r="HZ226" s="304"/>
      <c r="IA226" s="304"/>
      <c r="IB226" s="304"/>
      <c r="IC226" s="304"/>
      <c r="ID226" s="304"/>
      <c r="IE226" s="304"/>
      <c r="IF226" s="304"/>
      <c r="IG226" s="304"/>
      <c r="IH226" s="304"/>
      <c r="II226" s="304"/>
      <c r="IJ226" s="304"/>
      <c r="IK226" s="304"/>
      <c r="IL226" s="304"/>
      <c r="IM226" s="304"/>
      <c r="IN226" s="304"/>
      <c r="IO226" s="304"/>
      <c r="IP226" s="304"/>
      <c r="IQ226" s="304"/>
      <c r="IR226" s="304"/>
      <c r="IS226" s="304"/>
      <c r="IT226" s="304"/>
      <c r="IU226" s="304"/>
      <c r="IV226" s="304"/>
    </row>
    <row r="227" spans="1:256" ht="23.25">
      <c r="A227" s="339" t="s">
        <v>378</v>
      </c>
      <c r="B227" s="354" t="s">
        <v>379</v>
      </c>
      <c r="C227" s="355">
        <f t="shared" si="32"/>
        <v>0.04186046511627907</v>
      </c>
      <c r="D227" s="356"/>
      <c r="E227" s="343">
        <v>18000</v>
      </c>
      <c r="F227" s="344"/>
      <c r="G227" s="376">
        <f t="shared" si="29"/>
        <v>1</v>
      </c>
      <c r="H227" s="343">
        <f t="shared" si="31"/>
        <v>18000</v>
      </c>
      <c r="I227" s="343">
        <v>18000</v>
      </c>
      <c r="J227" s="376">
        <f t="shared" si="0"/>
        <v>0</v>
      </c>
      <c r="K227" s="348">
        <v>0</v>
      </c>
      <c r="M227" s="174">
        <f t="shared" si="1"/>
        <v>0</v>
      </c>
      <c r="O227" s="144"/>
      <c r="FH227" s="304"/>
      <c r="FI227" s="304"/>
      <c r="FJ227" s="304"/>
      <c r="FK227" s="304"/>
      <c r="FL227" s="304"/>
      <c r="FM227" s="304"/>
      <c r="FN227" s="304"/>
      <c r="FO227" s="304"/>
      <c r="FP227" s="304"/>
      <c r="FQ227" s="304"/>
      <c r="FR227" s="304"/>
      <c r="FS227" s="304"/>
      <c r="FT227" s="304"/>
      <c r="FU227" s="304"/>
      <c r="FV227" s="304"/>
      <c r="FW227" s="304"/>
      <c r="FX227" s="304"/>
      <c r="FY227" s="304"/>
      <c r="FZ227" s="304"/>
      <c r="GA227" s="304"/>
      <c r="GB227" s="304"/>
      <c r="GC227" s="304"/>
      <c r="GD227" s="304"/>
      <c r="GE227" s="304"/>
      <c r="GF227" s="304"/>
      <c r="GG227" s="304"/>
      <c r="GH227" s="304"/>
      <c r="GI227" s="304"/>
      <c r="GJ227" s="304"/>
      <c r="GK227" s="304"/>
      <c r="GL227" s="304"/>
      <c r="GM227" s="304"/>
      <c r="GN227" s="304"/>
      <c r="GO227" s="304"/>
      <c r="GP227" s="304"/>
      <c r="GQ227" s="304"/>
      <c r="GR227" s="304"/>
      <c r="GS227" s="304"/>
      <c r="GT227" s="304"/>
      <c r="GU227" s="304"/>
      <c r="GV227" s="304"/>
      <c r="GW227" s="304"/>
      <c r="GX227" s="304"/>
      <c r="GY227" s="304"/>
      <c r="GZ227" s="304"/>
      <c r="HA227" s="304"/>
      <c r="HB227" s="304"/>
      <c r="HC227" s="304"/>
      <c r="HD227" s="304"/>
      <c r="HE227" s="304"/>
      <c r="HF227" s="304"/>
      <c r="HG227" s="304"/>
      <c r="HH227" s="304"/>
      <c r="HI227" s="304"/>
      <c r="HJ227" s="304"/>
      <c r="HK227" s="304"/>
      <c r="HL227" s="304"/>
      <c r="HM227" s="304"/>
      <c r="HN227" s="304"/>
      <c r="HO227" s="304"/>
      <c r="HP227" s="304"/>
      <c r="HQ227" s="304"/>
      <c r="HR227" s="304"/>
      <c r="HS227" s="304"/>
      <c r="HT227" s="304"/>
      <c r="HU227" s="304"/>
      <c r="HV227" s="304"/>
      <c r="HW227" s="304"/>
      <c r="HX227" s="304"/>
      <c r="HY227" s="304"/>
      <c r="HZ227" s="304"/>
      <c r="IA227" s="304"/>
      <c r="IB227" s="304"/>
      <c r="IC227" s="304"/>
      <c r="ID227" s="304"/>
      <c r="IE227" s="304"/>
      <c r="IF227" s="304"/>
      <c r="IG227" s="304"/>
      <c r="IH227" s="304"/>
      <c r="II227" s="304"/>
      <c r="IJ227" s="304"/>
      <c r="IK227" s="304"/>
      <c r="IL227" s="304"/>
      <c r="IM227" s="304"/>
      <c r="IN227" s="304"/>
      <c r="IO227" s="304"/>
      <c r="IP227" s="304"/>
      <c r="IQ227" s="304"/>
      <c r="IR227" s="304"/>
      <c r="IS227" s="304"/>
      <c r="IT227" s="304"/>
      <c r="IU227" s="304"/>
      <c r="IV227" s="304"/>
    </row>
    <row r="228" spans="1:256" ht="23.25">
      <c r="A228" s="339" t="s">
        <v>380</v>
      </c>
      <c r="B228" s="354" t="s">
        <v>381</v>
      </c>
      <c r="C228" s="355">
        <f t="shared" si="32"/>
        <v>0.05813953488372093</v>
      </c>
      <c r="D228" s="356"/>
      <c r="E228" s="343">
        <v>25000</v>
      </c>
      <c r="F228" s="344"/>
      <c r="G228" s="376">
        <f t="shared" si="29"/>
        <v>1</v>
      </c>
      <c r="H228" s="343">
        <f t="shared" si="31"/>
        <v>25000</v>
      </c>
      <c r="I228" s="343">
        <v>0</v>
      </c>
      <c r="J228" s="376">
        <f t="shared" si="0"/>
        <v>1</v>
      </c>
      <c r="K228" s="348">
        <v>25000</v>
      </c>
      <c r="M228" s="174">
        <f t="shared" si="1"/>
        <v>25000</v>
      </c>
      <c r="O228" s="144"/>
      <c r="FH228" s="304"/>
      <c r="FI228" s="304"/>
      <c r="FJ228" s="304"/>
      <c r="FK228" s="304"/>
      <c r="FL228" s="304"/>
      <c r="FM228" s="304"/>
      <c r="FN228" s="304"/>
      <c r="FO228" s="304"/>
      <c r="FP228" s="304"/>
      <c r="FQ228" s="304"/>
      <c r="FR228" s="304"/>
      <c r="FS228" s="304"/>
      <c r="FT228" s="304"/>
      <c r="FU228" s="304"/>
      <c r="FV228" s="304"/>
      <c r="FW228" s="304"/>
      <c r="FX228" s="304"/>
      <c r="FY228" s="304"/>
      <c r="FZ228" s="304"/>
      <c r="GA228" s="304"/>
      <c r="GB228" s="304"/>
      <c r="GC228" s="304"/>
      <c r="GD228" s="304"/>
      <c r="GE228" s="304"/>
      <c r="GF228" s="304"/>
      <c r="GG228" s="304"/>
      <c r="GH228" s="304"/>
      <c r="GI228" s="304"/>
      <c r="GJ228" s="304"/>
      <c r="GK228" s="304"/>
      <c r="GL228" s="304"/>
      <c r="GM228" s="304"/>
      <c r="GN228" s="304"/>
      <c r="GO228" s="304"/>
      <c r="GP228" s="304"/>
      <c r="GQ228" s="304"/>
      <c r="GR228" s="304"/>
      <c r="GS228" s="304"/>
      <c r="GT228" s="304"/>
      <c r="GU228" s="304"/>
      <c r="GV228" s="304"/>
      <c r="GW228" s="304"/>
      <c r="GX228" s="304"/>
      <c r="GY228" s="304"/>
      <c r="GZ228" s="304"/>
      <c r="HA228" s="304"/>
      <c r="HB228" s="304"/>
      <c r="HC228" s="304"/>
      <c r="HD228" s="304"/>
      <c r="HE228" s="304"/>
      <c r="HF228" s="304"/>
      <c r="HG228" s="304"/>
      <c r="HH228" s="304"/>
      <c r="HI228" s="304"/>
      <c r="HJ228" s="304"/>
      <c r="HK228" s="304"/>
      <c r="HL228" s="304"/>
      <c r="HM228" s="304"/>
      <c r="HN228" s="304"/>
      <c r="HO228" s="304"/>
      <c r="HP228" s="304"/>
      <c r="HQ228" s="304"/>
      <c r="HR228" s="304"/>
      <c r="HS228" s="304"/>
      <c r="HT228" s="304"/>
      <c r="HU228" s="304"/>
      <c r="HV228" s="304"/>
      <c r="HW228" s="304"/>
      <c r="HX228" s="304"/>
      <c r="HY228" s="304"/>
      <c r="HZ228" s="304"/>
      <c r="IA228" s="304"/>
      <c r="IB228" s="304"/>
      <c r="IC228" s="304"/>
      <c r="ID228" s="304"/>
      <c r="IE228" s="304"/>
      <c r="IF228" s="304"/>
      <c r="IG228" s="304"/>
      <c r="IH228" s="304"/>
      <c r="II228" s="304"/>
      <c r="IJ228" s="304"/>
      <c r="IK228" s="304"/>
      <c r="IL228" s="304"/>
      <c r="IM228" s="304"/>
      <c r="IN228" s="304"/>
      <c r="IO228" s="304"/>
      <c r="IP228" s="304"/>
      <c r="IQ228" s="304"/>
      <c r="IR228" s="304"/>
      <c r="IS228" s="304"/>
      <c r="IT228" s="304"/>
      <c r="IU228" s="304"/>
      <c r="IV228" s="304"/>
    </row>
    <row r="229" spans="1:256" ht="23.25">
      <c r="A229" s="339" t="s">
        <v>382</v>
      </c>
      <c r="B229" s="354" t="s">
        <v>383</v>
      </c>
      <c r="C229" s="355">
        <f t="shared" si="32"/>
        <v>0.05069767441860465</v>
      </c>
      <c r="D229" s="356"/>
      <c r="E229" s="343">
        <v>21800</v>
      </c>
      <c r="F229" s="344"/>
      <c r="G229" s="376">
        <f t="shared" si="29"/>
        <v>1</v>
      </c>
      <c r="H229" s="343">
        <f t="shared" si="31"/>
        <v>21800</v>
      </c>
      <c r="I229" s="343">
        <v>0</v>
      </c>
      <c r="J229" s="376">
        <f t="shared" si="0"/>
        <v>1</v>
      </c>
      <c r="K229" s="348">
        <v>21800</v>
      </c>
      <c r="M229" s="174">
        <f t="shared" si="1"/>
        <v>21800</v>
      </c>
      <c r="O229" s="144"/>
      <c r="FH229" s="304"/>
      <c r="FI229" s="304"/>
      <c r="FJ229" s="304"/>
      <c r="FK229" s="304"/>
      <c r="FL229" s="304"/>
      <c r="FM229" s="304"/>
      <c r="FN229" s="304"/>
      <c r="FO229" s="304"/>
      <c r="FP229" s="304"/>
      <c r="FQ229" s="304"/>
      <c r="FR229" s="304"/>
      <c r="FS229" s="304"/>
      <c r="FT229" s="304"/>
      <c r="FU229" s="304"/>
      <c r="FV229" s="304"/>
      <c r="FW229" s="304"/>
      <c r="FX229" s="304"/>
      <c r="FY229" s="304"/>
      <c r="FZ229" s="304"/>
      <c r="GA229" s="304"/>
      <c r="GB229" s="304"/>
      <c r="GC229" s="304"/>
      <c r="GD229" s="304"/>
      <c r="GE229" s="304"/>
      <c r="GF229" s="304"/>
      <c r="GG229" s="304"/>
      <c r="GH229" s="304"/>
      <c r="GI229" s="304"/>
      <c r="GJ229" s="304"/>
      <c r="GK229" s="304"/>
      <c r="GL229" s="304"/>
      <c r="GM229" s="304"/>
      <c r="GN229" s="304"/>
      <c r="GO229" s="304"/>
      <c r="GP229" s="304"/>
      <c r="GQ229" s="304"/>
      <c r="GR229" s="304"/>
      <c r="GS229" s="304"/>
      <c r="GT229" s="304"/>
      <c r="GU229" s="304"/>
      <c r="GV229" s="304"/>
      <c r="GW229" s="304"/>
      <c r="GX229" s="304"/>
      <c r="GY229" s="304"/>
      <c r="GZ229" s="304"/>
      <c r="HA229" s="304"/>
      <c r="HB229" s="304"/>
      <c r="HC229" s="304"/>
      <c r="HD229" s="304"/>
      <c r="HE229" s="304"/>
      <c r="HF229" s="304"/>
      <c r="HG229" s="304"/>
      <c r="HH229" s="304"/>
      <c r="HI229" s="304"/>
      <c r="HJ229" s="304"/>
      <c r="HK229" s="304"/>
      <c r="HL229" s="304"/>
      <c r="HM229" s="304"/>
      <c r="HN229" s="304"/>
      <c r="HO229" s="304"/>
      <c r="HP229" s="304"/>
      <c r="HQ229" s="304"/>
      <c r="HR229" s="304"/>
      <c r="HS229" s="304"/>
      <c r="HT229" s="304"/>
      <c r="HU229" s="304"/>
      <c r="HV229" s="304"/>
      <c r="HW229" s="304"/>
      <c r="HX229" s="304"/>
      <c r="HY229" s="304"/>
      <c r="HZ229" s="304"/>
      <c r="IA229" s="304"/>
      <c r="IB229" s="304"/>
      <c r="IC229" s="304"/>
      <c r="ID229" s="304"/>
      <c r="IE229" s="304"/>
      <c r="IF229" s="304"/>
      <c r="IG229" s="304"/>
      <c r="IH229" s="304"/>
      <c r="II229" s="304"/>
      <c r="IJ229" s="304"/>
      <c r="IK229" s="304"/>
      <c r="IL229" s="304"/>
      <c r="IM229" s="304"/>
      <c r="IN229" s="304"/>
      <c r="IO229" s="304"/>
      <c r="IP229" s="304"/>
      <c r="IQ229" s="304"/>
      <c r="IR229" s="304"/>
      <c r="IS229" s="304"/>
      <c r="IT229" s="304"/>
      <c r="IU229" s="304"/>
      <c r="IV229" s="304"/>
    </row>
    <row r="230" spans="1:256" ht="23.25">
      <c r="A230" s="309" t="s">
        <v>384</v>
      </c>
      <c r="B230" s="294" t="s">
        <v>385</v>
      </c>
      <c r="C230" s="295">
        <f>+E230/E185</f>
        <v>0.11003912195370023</v>
      </c>
      <c r="D230" s="310"/>
      <c r="E230" s="299">
        <v>121172</v>
      </c>
      <c r="F230" s="311"/>
      <c r="G230" s="298">
        <f t="shared" si="29"/>
        <v>1.0000082527316543</v>
      </c>
      <c r="H230" s="299">
        <f t="shared" si="31"/>
        <v>121173</v>
      </c>
      <c r="I230" s="299">
        <f>SUM(I231:I240)</f>
        <v>71000</v>
      </c>
      <c r="J230" s="298">
        <f t="shared" si="0"/>
        <v>0.41406430528504934</v>
      </c>
      <c r="K230" s="300">
        <f>SUM(K231:K240)</f>
        <v>50173</v>
      </c>
      <c r="M230" s="174">
        <f t="shared" si="1"/>
        <v>50173</v>
      </c>
      <c r="O230" s="144"/>
      <c r="FH230" s="359"/>
      <c r="FI230" s="359"/>
      <c r="FJ230" s="359"/>
      <c r="FK230" s="359"/>
      <c r="FL230" s="359"/>
      <c r="FM230" s="359"/>
      <c r="FN230" s="359"/>
      <c r="FO230" s="359"/>
      <c r="FP230" s="359"/>
      <c r="FQ230" s="359"/>
      <c r="FR230" s="359"/>
      <c r="FS230" s="359"/>
      <c r="FT230" s="359"/>
      <c r="FU230" s="359"/>
      <c r="FV230" s="359"/>
      <c r="FW230" s="359"/>
      <c r="FX230" s="359"/>
      <c r="FY230" s="359"/>
      <c r="FZ230" s="359"/>
      <c r="GA230" s="359"/>
      <c r="GB230" s="359"/>
      <c r="GC230" s="359"/>
      <c r="GD230" s="359"/>
      <c r="GE230" s="359"/>
      <c r="GF230" s="359"/>
      <c r="GG230" s="359"/>
      <c r="GH230" s="359"/>
      <c r="GI230" s="359"/>
      <c r="GJ230" s="359"/>
      <c r="GK230" s="359"/>
      <c r="GL230" s="359"/>
      <c r="GM230" s="359"/>
      <c r="GN230" s="359"/>
      <c r="GO230" s="359"/>
      <c r="GP230" s="359"/>
      <c r="GQ230" s="359"/>
      <c r="GR230" s="359"/>
      <c r="GS230" s="359"/>
      <c r="GT230" s="359"/>
      <c r="GU230" s="359"/>
      <c r="GV230" s="359"/>
      <c r="GW230" s="359"/>
      <c r="GX230" s="359"/>
      <c r="GY230" s="359"/>
      <c r="GZ230" s="359"/>
      <c r="HA230" s="359"/>
      <c r="HB230" s="359"/>
      <c r="HC230" s="359"/>
      <c r="HD230" s="359"/>
      <c r="HE230" s="359"/>
      <c r="HF230" s="359"/>
      <c r="HG230" s="359"/>
      <c r="HH230" s="359"/>
      <c r="HI230" s="359"/>
      <c r="HJ230" s="359"/>
      <c r="HK230" s="359"/>
      <c r="HL230" s="359"/>
      <c r="HM230" s="359"/>
      <c r="HN230" s="359"/>
      <c r="HO230" s="359"/>
      <c r="HP230" s="359"/>
      <c r="HQ230" s="359"/>
      <c r="HR230" s="359"/>
      <c r="HS230" s="359"/>
      <c r="HT230" s="359"/>
      <c r="HU230" s="359"/>
      <c r="HV230" s="359"/>
      <c r="HW230" s="359"/>
      <c r="HX230" s="359"/>
      <c r="HY230" s="359"/>
      <c r="HZ230" s="359"/>
      <c r="IA230" s="359"/>
      <c r="IB230" s="359"/>
      <c r="IC230" s="359"/>
      <c r="ID230" s="359"/>
      <c r="IE230" s="359"/>
      <c r="IF230" s="359"/>
      <c r="IG230" s="359"/>
      <c r="IH230" s="359"/>
      <c r="II230" s="359"/>
      <c r="IJ230" s="359"/>
      <c r="IK230" s="359"/>
      <c r="IL230" s="359"/>
      <c r="IM230" s="359"/>
      <c r="IN230" s="359"/>
      <c r="IO230" s="359"/>
      <c r="IP230" s="359"/>
      <c r="IQ230" s="359"/>
      <c r="IR230" s="359"/>
      <c r="IS230" s="359"/>
      <c r="IT230" s="359"/>
      <c r="IU230" s="359"/>
      <c r="IV230" s="359"/>
    </row>
    <row r="231" spans="1:256" ht="23.25">
      <c r="A231" s="339" t="s">
        <v>386</v>
      </c>
      <c r="B231" s="354" t="s">
        <v>387</v>
      </c>
      <c r="C231" s="355">
        <f aca="true" t="shared" si="33" ref="C231:C240">+E231/$E$230</f>
        <v>0.028884560789621365</v>
      </c>
      <c r="D231" s="356"/>
      <c r="E231" s="343">
        <v>3500</v>
      </c>
      <c r="F231" s="344"/>
      <c r="G231" s="376">
        <f t="shared" si="29"/>
        <v>1</v>
      </c>
      <c r="H231" s="343">
        <f t="shared" si="31"/>
        <v>3500</v>
      </c>
      <c r="I231" s="343">
        <v>3500</v>
      </c>
      <c r="J231" s="376">
        <f t="shared" si="0"/>
        <v>0</v>
      </c>
      <c r="K231" s="348">
        <v>0</v>
      </c>
      <c r="M231" s="174">
        <f t="shared" si="1"/>
        <v>0</v>
      </c>
      <c r="O231" s="144"/>
      <c r="FH231" s="304"/>
      <c r="FI231" s="304"/>
      <c r="FJ231" s="304"/>
      <c r="FK231" s="304"/>
      <c r="FL231" s="304"/>
      <c r="FM231" s="304"/>
      <c r="FN231" s="304"/>
      <c r="FO231" s="304"/>
      <c r="FP231" s="304"/>
      <c r="FQ231" s="304"/>
      <c r="FR231" s="304"/>
      <c r="FS231" s="304"/>
      <c r="FT231" s="304"/>
      <c r="FU231" s="304"/>
      <c r="FV231" s="304"/>
      <c r="FW231" s="304"/>
      <c r="FX231" s="304"/>
      <c r="FY231" s="304"/>
      <c r="FZ231" s="304"/>
      <c r="GA231" s="304"/>
      <c r="GB231" s="304"/>
      <c r="GC231" s="304"/>
      <c r="GD231" s="304"/>
      <c r="GE231" s="304"/>
      <c r="GF231" s="304"/>
      <c r="GG231" s="304"/>
      <c r="GH231" s="304"/>
      <c r="GI231" s="304"/>
      <c r="GJ231" s="304"/>
      <c r="GK231" s="304"/>
      <c r="GL231" s="304"/>
      <c r="GM231" s="304"/>
      <c r="GN231" s="304"/>
      <c r="GO231" s="304"/>
      <c r="GP231" s="304"/>
      <c r="GQ231" s="304"/>
      <c r="GR231" s="304"/>
      <c r="GS231" s="304"/>
      <c r="GT231" s="304"/>
      <c r="GU231" s="304"/>
      <c r="GV231" s="304"/>
      <c r="GW231" s="304"/>
      <c r="GX231" s="304"/>
      <c r="GY231" s="304"/>
      <c r="GZ231" s="304"/>
      <c r="HA231" s="304"/>
      <c r="HB231" s="304"/>
      <c r="HC231" s="304"/>
      <c r="HD231" s="304"/>
      <c r="HE231" s="304"/>
      <c r="HF231" s="304"/>
      <c r="HG231" s="304"/>
      <c r="HH231" s="304"/>
      <c r="HI231" s="304"/>
      <c r="HJ231" s="304"/>
      <c r="HK231" s="304"/>
      <c r="HL231" s="304"/>
      <c r="HM231" s="304"/>
      <c r="HN231" s="304"/>
      <c r="HO231" s="304"/>
      <c r="HP231" s="304"/>
      <c r="HQ231" s="304"/>
      <c r="HR231" s="304"/>
      <c r="HS231" s="304"/>
      <c r="HT231" s="304"/>
      <c r="HU231" s="304"/>
      <c r="HV231" s="304"/>
      <c r="HW231" s="304"/>
      <c r="HX231" s="304"/>
      <c r="HY231" s="304"/>
      <c r="HZ231" s="304"/>
      <c r="IA231" s="304"/>
      <c r="IB231" s="304"/>
      <c r="IC231" s="304"/>
      <c r="ID231" s="304"/>
      <c r="IE231" s="304"/>
      <c r="IF231" s="304"/>
      <c r="IG231" s="304"/>
      <c r="IH231" s="304"/>
      <c r="II231" s="304"/>
      <c r="IJ231" s="304"/>
      <c r="IK231" s="304"/>
      <c r="IL231" s="304"/>
      <c r="IM231" s="304"/>
      <c r="IN231" s="304"/>
      <c r="IO231" s="304"/>
      <c r="IP231" s="304"/>
      <c r="IQ231" s="304"/>
      <c r="IR231" s="304"/>
      <c r="IS231" s="304"/>
      <c r="IT231" s="304"/>
      <c r="IU231" s="304"/>
      <c r="IV231" s="304"/>
    </row>
    <row r="232" spans="1:256" ht="23.25">
      <c r="A232" s="339" t="s">
        <v>388</v>
      </c>
      <c r="B232" s="354" t="s">
        <v>389</v>
      </c>
      <c r="C232" s="355">
        <f t="shared" si="33"/>
        <v>0.14442280394810683</v>
      </c>
      <c r="D232" s="356"/>
      <c r="E232" s="343">
        <v>17500</v>
      </c>
      <c r="F232" s="344"/>
      <c r="G232" s="376">
        <f t="shared" si="29"/>
        <v>1</v>
      </c>
      <c r="H232" s="343">
        <f t="shared" si="31"/>
        <v>17500</v>
      </c>
      <c r="I232" s="343">
        <v>17500</v>
      </c>
      <c r="J232" s="376">
        <f t="shared" si="0"/>
        <v>0</v>
      </c>
      <c r="K232" s="348">
        <v>0</v>
      </c>
      <c r="M232" s="174">
        <f t="shared" si="1"/>
        <v>0</v>
      </c>
      <c r="O232" s="144"/>
      <c r="FH232" s="304"/>
      <c r="FI232" s="304"/>
      <c r="FJ232" s="304"/>
      <c r="FK232" s="304"/>
      <c r="FL232" s="304"/>
      <c r="FM232" s="304"/>
      <c r="FN232" s="304"/>
      <c r="FO232" s="304"/>
      <c r="FP232" s="304"/>
      <c r="FQ232" s="304"/>
      <c r="FR232" s="304"/>
      <c r="FS232" s="304"/>
      <c r="FT232" s="304"/>
      <c r="FU232" s="304"/>
      <c r="FV232" s="304"/>
      <c r="FW232" s="304"/>
      <c r="FX232" s="304"/>
      <c r="FY232" s="304"/>
      <c r="FZ232" s="304"/>
      <c r="GA232" s="304"/>
      <c r="GB232" s="304"/>
      <c r="GC232" s="304"/>
      <c r="GD232" s="304"/>
      <c r="GE232" s="304"/>
      <c r="GF232" s="304"/>
      <c r="GG232" s="304"/>
      <c r="GH232" s="304"/>
      <c r="GI232" s="304"/>
      <c r="GJ232" s="304"/>
      <c r="GK232" s="304"/>
      <c r="GL232" s="304"/>
      <c r="GM232" s="304"/>
      <c r="GN232" s="304"/>
      <c r="GO232" s="304"/>
      <c r="GP232" s="304"/>
      <c r="GQ232" s="304"/>
      <c r="GR232" s="304"/>
      <c r="GS232" s="304"/>
      <c r="GT232" s="304"/>
      <c r="GU232" s="304"/>
      <c r="GV232" s="304"/>
      <c r="GW232" s="304"/>
      <c r="GX232" s="304"/>
      <c r="GY232" s="304"/>
      <c r="GZ232" s="304"/>
      <c r="HA232" s="304"/>
      <c r="HB232" s="304"/>
      <c r="HC232" s="304"/>
      <c r="HD232" s="304"/>
      <c r="HE232" s="304"/>
      <c r="HF232" s="304"/>
      <c r="HG232" s="304"/>
      <c r="HH232" s="304"/>
      <c r="HI232" s="304"/>
      <c r="HJ232" s="304"/>
      <c r="HK232" s="304"/>
      <c r="HL232" s="304"/>
      <c r="HM232" s="304"/>
      <c r="HN232" s="304"/>
      <c r="HO232" s="304"/>
      <c r="HP232" s="304"/>
      <c r="HQ232" s="304"/>
      <c r="HR232" s="304"/>
      <c r="HS232" s="304"/>
      <c r="HT232" s="304"/>
      <c r="HU232" s="304"/>
      <c r="HV232" s="304"/>
      <c r="HW232" s="304"/>
      <c r="HX232" s="304"/>
      <c r="HY232" s="304"/>
      <c r="HZ232" s="304"/>
      <c r="IA232" s="304"/>
      <c r="IB232" s="304"/>
      <c r="IC232" s="304"/>
      <c r="ID232" s="304"/>
      <c r="IE232" s="304"/>
      <c r="IF232" s="304"/>
      <c r="IG232" s="304"/>
      <c r="IH232" s="304"/>
      <c r="II232" s="304"/>
      <c r="IJ232" s="304"/>
      <c r="IK232" s="304"/>
      <c r="IL232" s="304"/>
      <c r="IM232" s="304"/>
      <c r="IN232" s="304"/>
      <c r="IO232" s="304"/>
      <c r="IP232" s="304"/>
      <c r="IQ232" s="304"/>
      <c r="IR232" s="304"/>
      <c r="IS232" s="304"/>
      <c r="IT232" s="304"/>
      <c r="IU232" s="304"/>
      <c r="IV232" s="304"/>
    </row>
    <row r="233" spans="1:256" ht="23.25">
      <c r="A233" s="339" t="s">
        <v>390</v>
      </c>
      <c r="B233" s="354" t="s">
        <v>391</v>
      </c>
      <c r="C233" s="355">
        <f t="shared" si="33"/>
        <v>0.03301092661671013</v>
      </c>
      <c r="D233" s="356"/>
      <c r="E233" s="343">
        <v>4000</v>
      </c>
      <c r="F233" s="344"/>
      <c r="G233" s="376">
        <f t="shared" si="29"/>
        <v>1</v>
      </c>
      <c r="H233" s="343">
        <f t="shared" si="31"/>
        <v>4000</v>
      </c>
      <c r="I233" s="343">
        <v>4000</v>
      </c>
      <c r="J233" s="376">
        <f t="shared" si="0"/>
        <v>0</v>
      </c>
      <c r="K233" s="348">
        <v>0</v>
      </c>
      <c r="M233" s="174">
        <f t="shared" si="1"/>
        <v>0</v>
      </c>
      <c r="O233" s="144"/>
      <c r="FH233" s="304"/>
      <c r="FI233" s="304"/>
      <c r="FJ233" s="304"/>
      <c r="FK233" s="304"/>
      <c r="FL233" s="304"/>
      <c r="FM233" s="304"/>
      <c r="FN233" s="304"/>
      <c r="FO233" s="304"/>
      <c r="FP233" s="304"/>
      <c r="FQ233" s="304"/>
      <c r="FR233" s="304"/>
      <c r="FS233" s="304"/>
      <c r="FT233" s="304"/>
      <c r="FU233" s="304"/>
      <c r="FV233" s="304"/>
      <c r="FW233" s="304"/>
      <c r="FX233" s="304"/>
      <c r="FY233" s="304"/>
      <c r="FZ233" s="304"/>
      <c r="GA233" s="304"/>
      <c r="GB233" s="304"/>
      <c r="GC233" s="304"/>
      <c r="GD233" s="304"/>
      <c r="GE233" s="304"/>
      <c r="GF233" s="304"/>
      <c r="GG233" s="304"/>
      <c r="GH233" s="304"/>
      <c r="GI233" s="304"/>
      <c r="GJ233" s="304"/>
      <c r="GK233" s="304"/>
      <c r="GL233" s="304"/>
      <c r="GM233" s="304"/>
      <c r="GN233" s="304"/>
      <c r="GO233" s="304"/>
      <c r="GP233" s="304"/>
      <c r="GQ233" s="304"/>
      <c r="GR233" s="304"/>
      <c r="GS233" s="304"/>
      <c r="GT233" s="304"/>
      <c r="GU233" s="304"/>
      <c r="GV233" s="304"/>
      <c r="GW233" s="304"/>
      <c r="GX233" s="304"/>
      <c r="GY233" s="304"/>
      <c r="GZ233" s="304"/>
      <c r="HA233" s="304"/>
      <c r="HB233" s="304"/>
      <c r="HC233" s="304"/>
      <c r="HD233" s="304"/>
      <c r="HE233" s="304"/>
      <c r="HF233" s="304"/>
      <c r="HG233" s="304"/>
      <c r="HH233" s="304"/>
      <c r="HI233" s="304"/>
      <c r="HJ233" s="304"/>
      <c r="HK233" s="304"/>
      <c r="HL233" s="304"/>
      <c r="HM233" s="304"/>
      <c r="HN233" s="304"/>
      <c r="HO233" s="304"/>
      <c r="HP233" s="304"/>
      <c r="HQ233" s="304"/>
      <c r="HR233" s="304"/>
      <c r="HS233" s="304"/>
      <c r="HT233" s="304"/>
      <c r="HU233" s="304"/>
      <c r="HV233" s="304"/>
      <c r="HW233" s="304"/>
      <c r="HX233" s="304"/>
      <c r="HY233" s="304"/>
      <c r="HZ233" s="304"/>
      <c r="IA233" s="304"/>
      <c r="IB233" s="304"/>
      <c r="IC233" s="304"/>
      <c r="ID233" s="304"/>
      <c r="IE233" s="304"/>
      <c r="IF233" s="304"/>
      <c r="IG233" s="304"/>
      <c r="IH233" s="304"/>
      <c r="II233" s="304"/>
      <c r="IJ233" s="304"/>
      <c r="IK233" s="304"/>
      <c r="IL233" s="304"/>
      <c r="IM233" s="304"/>
      <c r="IN233" s="304"/>
      <c r="IO233" s="304"/>
      <c r="IP233" s="304"/>
      <c r="IQ233" s="304"/>
      <c r="IR233" s="304"/>
      <c r="IS233" s="304"/>
      <c r="IT233" s="304"/>
      <c r="IU233" s="304"/>
      <c r="IV233" s="304"/>
    </row>
    <row r="234" spans="1:256" ht="23.25">
      <c r="A234" s="339" t="s">
        <v>392</v>
      </c>
      <c r="B234" s="354" t="s">
        <v>393</v>
      </c>
      <c r="C234" s="355">
        <f t="shared" si="33"/>
        <v>0.0990327798501304</v>
      </c>
      <c r="D234" s="356"/>
      <c r="E234" s="343">
        <v>12000</v>
      </c>
      <c r="F234" s="344"/>
      <c r="G234" s="376">
        <f t="shared" si="29"/>
        <v>1</v>
      </c>
      <c r="H234" s="343">
        <f t="shared" si="31"/>
        <v>12000</v>
      </c>
      <c r="I234" s="343">
        <v>12000</v>
      </c>
      <c r="J234" s="376">
        <f t="shared" si="0"/>
        <v>0</v>
      </c>
      <c r="K234" s="348">
        <v>0</v>
      </c>
      <c r="M234" s="174">
        <f t="shared" si="1"/>
        <v>0</v>
      </c>
      <c r="O234" s="144"/>
      <c r="FH234" s="304"/>
      <c r="FI234" s="304"/>
      <c r="FJ234" s="304"/>
      <c r="FK234" s="304"/>
      <c r="FL234" s="304"/>
      <c r="FM234" s="304"/>
      <c r="FN234" s="304"/>
      <c r="FO234" s="304"/>
      <c r="FP234" s="304"/>
      <c r="FQ234" s="304"/>
      <c r="FR234" s="304"/>
      <c r="FS234" s="304"/>
      <c r="FT234" s="304"/>
      <c r="FU234" s="304"/>
      <c r="FV234" s="304"/>
      <c r="FW234" s="304"/>
      <c r="FX234" s="304"/>
      <c r="FY234" s="304"/>
      <c r="FZ234" s="304"/>
      <c r="GA234" s="304"/>
      <c r="GB234" s="304"/>
      <c r="GC234" s="304"/>
      <c r="GD234" s="304"/>
      <c r="GE234" s="304"/>
      <c r="GF234" s="304"/>
      <c r="GG234" s="304"/>
      <c r="GH234" s="304"/>
      <c r="GI234" s="304"/>
      <c r="GJ234" s="304"/>
      <c r="GK234" s="304"/>
      <c r="GL234" s="304"/>
      <c r="GM234" s="304"/>
      <c r="GN234" s="304"/>
      <c r="GO234" s="304"/>
      <c r="GP234" s="304"/>
      <c r="GQ234" s="304"/>
      <c r="GR234" s="304"/>
      <c r="GS234" s="304"/>
      <c r="GT234" s="304"/>
      <c r="GU234" s="304"/>
      <c r="GV234" s="304"/>
      <c r="GW234" s="304"/>
      <c r="GX234" s="304"/>
      <c r="GY234" s="304"/>
      <c r="GZ234" s="304"/>
      <c r="HA234" s="304"/>
      <c r="HB234" s="304"/>
      <c r="HC234" s="304"/>
      <c r="HD234" s="304"/>
      <c r="HE234" s="304"/>
      <c r="HF234" s="304"/>
      <c r="HG234" s="304"/>
      <c r="HH234" s="304"/>
      <c r="HI234" s="304"/>
      <c r="HJ234" s="304"/>
      <c r="HK234" s="304"/>
      <c r="HL234" s="304"/>
      <c r="HM234" s="304"/>
      <c r="HN234" s="304"/>
      <c r="HO234" s="304"/>
      <c r="HP234" s="304"/>
      <c r="HQ234" s="304"/>
      <c r="HR234" s="304"/>
      <c r="HS234" s="304"/>
      <c r="HT234" s="304"/>
      <c r="HU234" s="304"/>
      <c r="HV234" s="304"/>
      <c r="HW234" s="304"/>
      <c r="HX234" s="304"/>
      <c r="HY234" s="304"/>
      <c r="HZ234" s="304"/>
      <c r="IA234" s="304"/>
      <c r="IB234" s="304"/>
      <c r="IC234" s="304"/>
      <c r="ID234" s="304"/>
      <c r="IE234" s="304"/>
      <c r="IF234" s="304"/>
      <c r="IG234" s="304"/>
      <c r="IH234" s="304"/>
      <c r="II234" s="304"/>
      <c r="IJ234" s="304"/>
      <c r="IK234" s="304"/>
      <c r="IL234" s="304"/>
      <c r="IM234" s="304"/>
      <c r="IN234" s="304"/>
      <c r="IO234" s="304"/>
      <c r="IP234" s="304"/>
      <c r="IQ234" s="304"/>
      <c r="IR234" s="304"/>
      <c r="IS234" s="304"/>
      <c r="IT234" s="304"/>
      <c r="IU234" s="304"/>
      <c r="IV234" s="304"/>
    </row>
    <row r="235" spans="1:256" ht="23.25">
      <c r="A235" s="339" t="s">
        <v>394</v>
      </c>
      <c r="B235" s="354" t="s">
        <v>395</v>
      </c>
      <c r="C235" s="355">
        <f t="shared" si="33"/>
        <v>0.05776912157924273</v>
      </c>
      <c r="D235" s="356"/>
      <c r="E235" s="343">
        <v>7000</v>
      </c>
      <c r="F235" s="344"/>
      <c r="G235" s="376">
        <f t="shared" si="29"/>
        <v>1</v>
      </c>
      <c r="H235" s="343">
        <f t="shared" si="31"/>
        <v>7000</v>
      </c>
      <c r="I235" s="343">
        <v>7000</v>
      </c>
      <c r="J235" s="376">
        <f t="shared" si="0"/>
        <v>0</v>
      </c>
      <c r="K235" s="348">
        <v>0</v>
      </c>
      <c r="M235" s="174">
        <f t="shared" si="1"/>
        <v>0</v>
      </c>
      <c r="O235" s="144"/>
      <c r="FH235" s="304"/>
      <c r="FI235" s="304"/>
      <c r="FJ235" s="304"/>
      <c r="FK235" s="304"/>
      <c r="FL235" s="304"/>
      <c r="FM235" s="304"/>
      <c r="FN235" s="304"/>
      <c r="FO235" s="304"/>
      <c r="FP235" s="304"/>
      <c r="FQ235" s="304"/>
      <c r="FR235" s="304"/>
      <c r="FS235" s="304"/>
      <c r="FT235" s="304"/>
      <c r="FU235" s="304"/>
      <c r="FV235" s="304"/>
      <c r="FW235" s="304"/>
      <c r="FX235" s="304"/>
      <c r="FY235" s="304"/>
      <c r="FZ235" s="304"/>
      <c r="GA235" s="304"/>
      <c r="GB235" s="304"/>
      <c r="GC235" s="304"/>
      <c r="GD235" s="304"/>
      <c r="GE235" s="304"/>
      <c r="GF235" s="304"/>
      <c r="GG235" s="304"/>
      <c r="GH235" s="304"/>
      <c r="GI235" s="304"/>
      <c r="GJ235" s="304"/>
      <c r="GK235" s="304"/>
      <c r="GL235" s="304"/>
      <c r="GM235" s="304"/>
      <c r="GN235" s="304"/>
      <c r="GO235" s="304"/>
      <c r="GP235" s="304"/>
      <c r="GQ235" s="304"/>
      <c r="GR235" s="304"/>
      <c r="GS235" s="304"/>
      <c r="GT235" s="304"/>
      <c r="GU235" s="304"/>
      <c r="GV235" s="304"/>
      <c r="GW235" s="304"/>
      <c r="GX235" s="304"/>
      <c r="GY235" s="304"/>
      <c r="GZ235" s="304"/>
      <c r="HA235" s="304"/>
      <c r="HB235" s="304"/>
      <c r="HC235" s="304"/>
      <c r="HD235" s="304"/>
      <c r="HE235" s="304"/>
      <c r="HF235" s="304"/>
      <c r="HG235" s="304"/>
      <c r="HH235" s="304"/>
      <c r="HI235" s="304"/>
      <c r="HJ235" s="304"/>
      <c r="HK235" s="304"/>
      <c r="HL235" s="304"/>
      <c r="HM235" s="304"/>
      <c r="HN235" s="304"/>
      <c r="HO235" s="304"/>
      <c r="HP235" s="304"/>
      <c r="HQ235" s="304"/>
      <c r="HR235" s="304"/>
      <c r="HS235" s="304"/>
      <c r="HT235" s="304"/>
      <c r="HU235" s="304"/>
      <c r="HV235" s="304"/>
      <c r="HW235" s="304"/>
      <c r="HX235" s="304"/>
      <c r="HY235" s="304"/>
      <c r="HZ235" s="304"/>
      <c r="IA235" s="304"/>
      <c r="IB235" s="304"/>
      <c r="IC235" s="304"/>
      <c r="ID235" s="304"/>
      <c r="IE235" s="304"/>
      <c r="IF235" s="304"/>
      <c r="IG235" s="304"/>
      <c r="IH235" s="304"/>
      <c r="II235" s="304"/>
      <c r="IJ235" s="304"/>
      <c r="IK235" s="304"/>
      <c r="IL235" s="304"/>
      <c r="IM235" s="304"/>
      <c r="IN235" s="304"/>
      <c r="IO235" s="304"/>
      <c r="IP235" s="304"/>
      <c r="IQ235" s="304"/>
      <c r="IR235" s="304"/>
      <c r="IS235" s="304"/>
      <c r="IT235" s="304"/>
      <c r="IU235" s="304"/>
      <c r="IV235" s="304"/>
    </row>
    <row r="236" spans="1:256" ht="23.25">
      <c r="A236" s="339" t="s">
        <v>396</v>
      </c>
      <c r="B236" s="354" t="s">
        <v>397</v>
      </c>
      <c r="C236" s="355">
        <f t="shared" si="33"/>
        <v>0.05776912157924273</v>
      </c>
      <c r="D236" s="356"/>
      <c r="E236" s="343">
        <v>7000</v>
      </c>
      <c r="F236" s="344"/>
      <c r="G236" s="376">
        <f t="shared" si="29"/>
        <v>1</v>
      </c>
      <c r="H236" s="343">
        <f t="shared" si="31"/>
        <v>7000</v>
      </c>
      <c r="I236" s="343">
        <v>7000</v>
      </c>
      <c r="J236" s="376">
        <f t="shared" si="0"/>
        <v>0</v>
      </c>
      <c r="K236" s="348">
        <v>0</v>
      </c>
      <c r="M236" s="174">
        <f t="shared" si="1"/>
        <v>0</v>
      </c>
      <c r="O236" s="144"/>
      <c r="FH236" s="304"/>
      <c r="FI236" s="304"/>
      <c r="FJ236" s="304"/>
      <c r="FK236" s="304"/>
      <c r="FL236" s="304"/>
      <c r="FM236" s="304"/>
      <c r="FN236" s="304"/>
      <c r="FO236" s="304"/>
      <c r="FP236" s="304"/>
      <c r="FQ236" s="304"/>
      <c r="FR236" s="304"/>
      <c r="FS236" s="304"/>
      <c r="FT236" s="304"/>
      <c r="FU236" s="304"/>
      <c r="FV236" s="304"/>
      <c r="FW236" s="304"/>
      <c r="FX236" s="304"/>
      <c r="FY236" s="304"/>
      <c r="FZ236" s="304"/>
      <c r="GA236" s="304"/>
      <c r="GB236" s="304"/>
      <c r="GC236" s="304"/>
      <c r="GD236" s="304"/>
      <c r="GE236" s="304"/>
      <c r="GF236" s="304"/>
      <c r="GG236" s="304"/>
      <c r="GH236" s="304"/>
      <c r="GI236" s="304"/>
      <c r="GJ236" s="304"/>
      <c r="GK236" s="304"/>
      <c r="GL236" s="304"/>
      <c r="GM236" s="304"/>
      <c r="GN236" s="304"/>
      <c r="GO236" s="304"/>
      <c r="GP236" s="304"/>
      <c r="GQ236" s="304"/>
      <c r="GR236" s="304"/>
      <c r="GS236" s="304"/>
      <c r="GT236" s="304"/>
      <c r="GU236" s="304"/>
      <c r="GV236" s="304"/>
      <c r="GW236" s="304"/>
      <c r="GX236" s="304"/>
      <c r="GY236" s="304"/>
      <c r="GZ236" s="304"/>
      <c r="HA236" s="304"/>
      <c r="HB236" s="304"/>
      <c r="HC236" s="304"/>
      <c r="HD236" s="304"/>
      <c r="HE236" s="304"/>
      <c r="HF236" s="304"/>
      <c r="HG236" s="304"/>
      <c r="HH236" s="304"/>
      <c r="HI236" s="304"/>
      <c r="HJ236" s="304"/>
      <c r="HK236" s="304"/>
      <c r="HL236" s="304"/>
      <c r="HM236" s="304"/>
      <c r="HN236" s="304"/>
      <c r="HO236" s="304"/>
      <c r="HP236" s="304"/>
      <c r="HQ236" s="304"/>
      <c r="HR236" s="304"/>
      <c r="HS236" s="304"/>
      <c r="HT236" s="304"/>
      <c r="HU236" s="304"/>
      <c r="HV236" s="304"/>
      <c r="HW236" s="304"/>
      <c r="HX236" s="304"/>
      <c r="HY236" s="304"/>
      <c r="HZ236" s="304"/>
      <c r="IA236" s="304"/>
      <c r="IB236" s="304"/>
      <c r="IC236" s="304"/>
      <c r="ID236" s="304"/>
      <c r="IE236" s="304"/>
      <c r="IF236" s="304"/>
      <c r="IG236" s="304"/>
      <c r="IH236" s="304"/>
      <c r="II236" s="304"/>
      <c r="IJ236" s="304"/>
      <c r="IK236" s="304"/>
      <c r="IL236" s="304"/>
      <c r="IM236" s="304"/>
      <c r="IN236" s="304"/>
      <c r="IO236" s="304"/>
      <c r="IP236" s="304"/>
      <c r="IQ236" s="304"/>
      <c r="IR236" s="304"/>
      <c r="IS236" s="304"/>
      <c r="IT236" s="304"/>
      <c r="IU236" s="304"/>
      <c r="IV236" s="304"/>
    </row>
    <row r="237" spans="1:256" ht="23.25">
      <c r="A237" s="339" t="s">
        <v>398</v>
      </c>
      <c r="B237" s="354" t="s">
        <v>399</v>
      </c>
      <c r="C237" s="355">
        <f t="shared" si="33"/>
        <v>0.08395503911794804</v>
      </c>
      <c r="D237" s="356"/>
      <c r="E237" s="343">
        <v>10173</v>
      </c>
      <c r="F237" s="344"/>
      <c r="G237" s="376">
        <f t="shared" si="29"/>
        <v>1</v>
      </c>
      <c r="H237" s="343">
        <f t="shared" si="31"/>
        <v>10173</v>
      </c>
      <c r="I237" s="343">
        <v>0</v>
      </c>
      <c r="J237" s="376">
        <f t="shared" si="0"/>
        <v>1</v>
      </c>
      <c r="K237" s="348">
        <v>10173</v>
      </c>
      <c r="M237" s="174">
        <f t="shared" si="1"/>
        <v>10173</v>
      </c>
      <c r="O237" s="144"/>
      <c r="FH237" s="304"/>
      <c r="FI237" s="304"/>
      <c r="FJ237" s="304"/>
      <c r="FK237" s="304"/>
      <c r="FL237" s="304"/>
      <c r="FM237" s="304"/>
      <c r="FN237" s="304"/>
      <c r="FO237" s="304"/>
      <c r="FP237" s="304"/>
      <c r="FQ237" s="304"/>
      <c r="FR237" s="304"/>
      <c r="FS237" s="304"/>
      <c r="FT237" s="304"/>
      <c r="FU237" s="304"/>
      <c r="FV237" s="304"/>
      <c r="FW237" s="304"/>
      <c r="FX237" s="304"/>
      <c r="FY237" s="304"/>
      <c r="FZ237" s="304"/>
      <c r="GA237" s="304"/>
      <c r="GB237" s="304"/>
      <c r="GC237" s="304"/>
      <c r="GD237" s="304"/>
      <c r="GE237" s="304"/>
      <c r="GF237" s="304"/>
      <c r="GG237" s="304"/>
      <c r="GH237" s="304"/>
      <c r="GI237" s="304"/>
      <c r="GJ237" s="304"/>
      <c r="GK237" s="304"/>
      <c r="GL237" s="304"/>
      <c r="GM237" s="304"/>
      <c r="GN237" s="304"/>
      <c r="GO237" s="304"/>
      <c r="GP237" s="304"/>
      <c r="GQ237" s="304"/>
      <c r="GR237" s="304"/>
      <c r="GS237" s="304"/>
      <c r="GT237" s="304"/>
      <c r="GU237" s="304"/>
      <c r="GV237" s="304"/>
      <c r="GW237" s="304"/>
      <c r="GX237" s="304"/>
      <c r="GY237" s="304"/>
      <c r="GZ237" s="304"/>
      <c r="HA237" s="304"/>
      <c r="HB237" s="304"/>
      <c r="HC237" s="304"/>
      <c r="HD237" s="304"/>
      <c r="HE237" s="304"/>
      <c r="HF237" s="304"/>
      <c r="HG237" s="304"/>
      <c r="HH237" s="304"/>
      <c r="HI237" s="304"/>
      <c r="HJ237" s="304"/>
      <c r="HK237" s="304"/>
      <c r="HL237" s="304"/>
      <c r="HM237" s="304"/>
      <c r="HN237" s="304"/>
      <c r="HO237" s="304"/>
      <c r="HP237" s="304"/>
      <c r="HQ237" s="304"/>
      <c r="HR237" s="304"/>
      <c r="HS237" s="304"/>
      <c r="HT237" s="304"/>
      <c r="HU237" s="304"/>
      <c r="HV237" s="304"/>
      <c r="HW237" s="304"/>
      <c r="HX237" s="304"/>
      <c r="HY237" s="304"/>
      <c r="HZ237" s="304"/>
      <c r="IA237" s="304"/>
      <c r="IB237" s="304"/>
      <c r="IC237" s="304"/>
      <c r="ID237" s="304"/>
      <c r="IE237" s="304"/>
      <c r="IF237" s="304"/>
      <c r="IG237" s="304"/>
      <c r="IH237" s="304"/>
      <c r="II237" s="304"/>
      <c r="IJ237" s="304"/>
      <c r="IK237" s="304"/>
      <c r="IL237" s="304"/>
      <c r="IM237" s="304"/>
      <c r="IN237" s="304"/>
      <c r="IO237" s="304"/>
      <c r="IP237" s="304"/>
      <c r="IQ237" s="304"/>
      <c r="IR237" s="304"/>
      <c r="IS237" s="304"/>
      <c r="IT237" s="304"/>
      <c r="IU237" s="304"/>
      <c r="IV237" s="304"/>
    </row>
    <row r="238" spans="1:256" ht="23.25">
      <c r="A238" s="339" t="s">
        <v>400</v>
      </c>
      <c r="B238" s="354" t="s">
        <v>401</v>
      </c>
      <c r="C238" s="355">
        <f t="shared" si="33"/>
        <v>0.20631829135443833</v>
      </c>
      <c r="D238" s="356"/>
      <c r="E238" s="343">
        <v>25000</v>
      </c>
      <c r="F238" s="344"/>
      <c r="G238" s="376">
        <f t="shared" si="29"/>
        <v>1</v>
      </c>
      <c r="H238" s="343">
        <f t="shared" si="31"/>
        <v>25000</v>
      </c>
      <c r="I238" s="343">
        <v>0</v>
      </c>
      <c r="J238" s="376">
        <f t="shared" si="0"/>
        <v>1</v>
      </c>
      <c r="K238" s="348">
        <v>25000</v>
      </c>
      <c r="M238" s="174">
        <f t="shared" si="1"/>
        <v>25000</v>
      </c>
      <c r="O238" s="144"/>
      <c r="FH238" s="304"/>
      <c r="FI238" s="304"/>
      <c r="FJ238" s="304"/>
      <c r="FK238" s="304"/>
      <c r="FL238" s="304"/>
      <c r="FM238" s="304"/>
      <c r="FN238" s="304"/>
      <c r="FO238" s="304"/>
      <c r="FP238" s="304"/>
      <c r="FQ238" s="304"/>
      <c r="FR238" s="304"/>
      <c r="FS238" s="304"/>
      <c r="FT238" s="304"/>
      <c r="FU238" s="304"/>
      <c r="FV238" s="304"/>
      <c r="FW238" s="304"/>
      <c r="FX238" s="304"/>
      <c r="FY238" s="304"/>
      <c r="FZ238" s="304"/>
      <c r="GA238" s="304"/>
      <c r="GB238" s="304"/>
      <c r="GC238" s="304"/>
      <c r="GD238" s="304"/>
      <c r="GE238" s="304"/>
      <c r="GF238" s="304"/>
      <c r="GG238" s="304"/>
      <c r="GH238" s="304"/>
      <c r="GI238" s="304"/>
      <c r="GJ238" s="304"/>
      <c r="GK238" s="304"/>
      <c r="GL238" s="304"/>
      <c r="GM238" s="304"/>
      <c r="GN238" s="304"/>
      <c r="GO238" s="304"/>
      <c r="GP238" s="304"/>
      <c r="GQ238" s="304"/>
      <c r="GR238" s="304"/>
      <c r="GS238" s="304"/>
      <c r="GT238" s="304"/>
      <c r="GU238" s="304"/>
      <c r="GV238" s="304"/>
      <c r="GW238" s="304"/>
      <c r="GX238" s="304"/>
      <c r="GY238" s="304"/>
      <c r="GZ238" s="304"/>
      <c r="HA238" s="304"/>
      <c r="HB238" s="304"/>
      <c r="HC238" s="304"/>
      <c r="HD238" s="304"/>
      <c r="HE238" s="304"/>
      <c r="HF238" s="304"/>
      <c r="HG238" s="304"/>
      <c r="HH238" s="304"/>
      <c r="HI238" s="304"/>
      <c r="HJ238" s="304"/>
      <c r="HK238" s="304"/>
      <c r="HL238" s="304"/>
      <c r="HM238" s="304"/>
      <c r="HN238" s="304"/>
      <c r="HO238" s="304"/>
      <c r="HP238" s="304"/>
      <c r="HQ238" s="304"/>
      <c r="HR238" s="304"/>
      <c r="HS238" s="304"/>
      <c r="HT238" s="304"/>
      <c r="HU238" s="304"/>
      <c r="HV238" s="304"/>
      <c r="HW238" s="304"/>
      <c r="HX238" s="304"/>
      <c r="HY238" s="304"/>
      <c r="HZ238" s="304"/>
      <c r="IA238" s="304"/>
      <c r="IB238" s="304"/>
      <c r="IC238" s="304"/>
      <c r="ID238" s="304"/>
      <c r="IE238" s="304"/>
      <c r="IF238" s="304"/>
      <c r="IG238" s="304"/>
      <c r="IH238" s="304"/>
      <c r="II238" s="304"/>
      <c r="IJ238" s="304"/>
      <c r="IK238" s="304"/>
      <c r="IL238" s="304"/>
      <c r="IM238" s="304"/>
      <c r="IN238" s="304"/>
      <c r="IO238" s="304"/>
      <c r="IP238" s="304"/>
      <c r="IQ238" s="304"/>
      <c r="IR238" s="304"/>
      <c r="IS238" s="304"/>
      <c r="IT238" s="304"/>
      <c r="IU238" s="304"/>
      <c r="IV238" s="304"/>
    </row>
    <row r="239" spans="1:256" ht="23.25">
      <c r="A239" s="339" t="s">
        <v>402</v>
      </c>
      <c r="B239" s="354" t="s">
        <v>403</v>
      </c>
      <c r="C239" s="355">
        <f t="shared" si="33"/>
        <v>0.08252731654177532</v>
      </c>
      <c r="D239" s="356"/>
      <c r="E239" s="343">
        <v>10000</v>
      </c>
      <c r="F239" s="344"/>
      <c r="G239" s="376">
        <f t="shared" si="29"/>
        <v>1</v>
      </c>
      <c r="H239" s="343">
        <f t="shared" si="31"/>
        <v>10000</v>
      </c>
      <c r="I239" s="343">
        <v>0</v>
      </c>
      <c r="J239" s="376">
        <f t="shared" si="0"/>
        <v>1</v>
      </c>
      <c r="K239" s="348">
        <v>10000</v>
      </c>
      <c r="M239" s="174">
        <f t="shared" si="1"/>
        <v>10000</v>
      </c>
      <c r="O239" s="144"/>
      <c r="FH239" s="304"/>
      <c r="FI239" s="304"/>
      <c r="FJ239" s="304"/>
      <c r="FK239" s="304"/>
      <c r="FL239" s="304"/>
      <c r="FM239" s="304"/>
      <c r="FN239" s="304"/>
      <c r="FO239" s="304"/>
      <c r="FP239" s="304"/>
      <c r="FQ239" s="304"/>
      <c r="FR239" s="304"/>
      <c r="FS239" s="304"/>
      <c r="FT239" s="304"/>
      <c r="FU239" s="304"/>
      <c r="FV239" s="304"/>
      <c r="FW239" s="304"/>
      <c r="FX239" s="304"/>
      <c r="FY239" s="304"/>
      <c r="FZ239" s="304"/>
      <c r="GA239" s="304"/>
      <c r="GB239" s="304"/>
      <c r="GC239" s="304"/>
      <c r="GD239" s="304"/>
      <c r="GE239" s="304"/>
      <c r="GF239" s="304"/>
      <c r="GG239" s="304"/>
      <c r="GH239" s="304"/>
      <c r="GI239" s="304"/>
      <c r="GJ239" s="304"/>
      <c r="GK239" s="304"/>
      <c r="GL239" s="304"/>
      <c r="GM239" s="304"/>
      <c r="GN239" s="304"/>
      <c r="GO239" s="304"/>
      <c r="GP239" s="304"/>
      <c r="GQ239" s="304"/>
      <c r="GR239" s="304"/>
      <c r="GS239" s="304"/>
      <c r="GT239" s="304"/>
      <c r="GU239" s="304"/>
      <c r="GV239" s="304"/>
      <c r="GW239" s="304"/>
      <c r="GX239" s="304"/>
      <c r="GY239" s="304"/>
      <c r="GZ239" s="304"/>
      <c r="HA239" s="304"/>
      <c r="HB239" s="304"/>
      <c r="HC239" s="304"/>
      <c r="HD239" s="304"/>
      <c r="HE239" s="304"/>
      <c r="HF239" s="304"/>
      <c r="HG239" s="304"/>
      <c r="HH239" s="304"/>
      <c r="HI239" s="304"/>
      <c r="HJ239" s="304"/>
      <c r="HK239" s="304"/>
      <c r="HL239" s="304"/>
      <c r="HM239" s="304"/>
      <c r="HN239" s="304"/>
      <c r="HO239" s="304"/>
      <c r="HP239" s="304"/>
      <c r="HQ239" s="304"/>
      <c r="HR239" s="304"/>
      <c r="HS239" s="304"/>
      <c r="HT239" s="304"/>
      <c r="HU239" s="304"/>
      <c r="HV239" s="304"/>
      <c r="HW239" s="304"/>
      <c r="HX239" s="304"/>
      <c r="HY239" s="304"/>
      <c r="HZ239" s="304"/>
      <c r="IA239" s="304"/>
      <c r="IB239" s="304"/>
      <c r="IC239" s="304"/>
      <c r="ID239" s="304"/>
      <c r="IE239" s="304"/>
      <c r="IF239" s="304"/>
      <c r="IG239" s="304"/>
      <c r="IH239" s="304"/>
      <c r="II239" s="304"/>
      <c r="IJ239" s="304"/>
      <c r="IK239" s="304"/>
      <c r="IL239" s="304"/>
      <c r="IM239" s="304"/>
      <c r="IN239" s="304"/>
      <c r="IO239" s="304"/>
      <c r="IP239" s="304"/>
      <c r="IQ239" s="304"/>
      <c r="IR239" s="304"/>
      <c r="IS239" s="304"/>
      <c r="IT239" s="304"/>
      <c r="IU239" s="304"/>
      <c r="IV239" s="304"/>
    </row>
    <row r="240" spans="1:256" ht="23.25">
      <c r="A240" s="339" t="s">
        <v>404</v>
      </c>
      <c r="B240" s="354" t="s">
        <v>405</v>
      </c>
      <c r="C240" s="355">
        <f t="shared" si="33"/>
        <v>0.20631829135443833</v>
      </c>
      <c r="D240" s="356"/>
      <c r="E240" s="343">
        <v>25000</v>
      </c>
      <c r="F240" s="344"/>
      <c r="G240" s="376">
        <f t="shared" si="29"/>
        <v>1</v>
      </c>
      <c r="H240" s="343">
        <f t="shared" si="31"/>
        <v>25000</v>
      </c>
      <c r="I240" s="343">
        <v>20000</v>
      </c>
      <c r="J240" s="376">
        <f t="shared" si="0"/>
        <v>0.2</v>
      </c>
      <c r="K240" s="348">
        <v>5000</v>
      </c>
      <c r="M240" s="174">
        <f t="shared" si="1"/>
        <v>5000</v>
      </c>
      <c r="O240" s="144"/>
      <c r="FH240" s="304"/>
      <c r="FI240" s="304"/>
      <c r="FJ240" s="304"/>
      <c r="FK240" s="304"/>
      <c r="FL240" s="304"/>
      <c r="FM240" s="304"/>
      <c r="FN240" s="304"/>
      <c r="FO240" s="304"/>
      <c r="FP240" s="304"/>
      <c r="FQ240" s="304"/>
      <c r="FR240" s="304"/>
      <c r="FS240" s="304"/>
      <c r="FT240" s="304"/>
      <c r="FU240" s="304"/>
      <c r="FV240" s="304"/>
      <c r="FW240" s="304"/>
      <c r="FX240" s="304"/>
      <c r="FY240" s="304"/>
      <c r="FZ240" s="304"/>
      <c r="GA240" s="304"/>
      <c r="GB240" s="304"/>
      <c r="GC240" s="304"/>
      <c r="GD240" s="304"/>
      <c r="GE240" s="304"/>
      <c r="GF240" s="304"/>
      <c r="GG240" s="304"/>
      <c r="GH240" s="304"/>
      <c r="GI240" s="304"/>
      <c r="GJ240" s="304"/>
      <c r="GK240" s="304"/>
      <c r="GL240" s="304"/>
      <c r="GM240" s="304"/>
      <c r="GN240" s="304"/>
      <c r="GO240" s="304"/>
      <c r="GP240" s="304"/>
      <c r="GQ240" s="304"/>
      <c r="GR240" s="304"/>
      <c r="GS240" s="304"/>
      <c r="GT240" s="304"/>
      <c r="GU240" s="304"/>
      <c r="GV240" s="304"/>
      <c r="GW240" s="304"/>
      <c r="GX240" s="304"/>
      <c r="GY240" s="304"/>
      <c r="GZ240" s="304"/>
      <c r="HA240" s="304"/>
      <c r="HB240" s="304"/>
      <c r="HC240" s="304"/>
      <c r="HD240" s="304"/>
      <c r="HE240" s="304"/>
      <c r="HF240" s="304"/>
      <c r="HG240" s="304"/>
      <c r="HH240" s="304"/>
      <c r="HI240" s="304"/>
      <c r="HJ240" s="304"/>
      <c r="HK240" s="304"/>
      <c r="HL240" s="304"/>
      <c r="HM240" s="304"/>
      <c r="HN240" s="304"/>
      <c r="HO240" s="304"/>
      <c r="HP240" s="304"/>
      <c r="HQ240" s="304"/>
      <c r="HR240" s="304"/>
      <c r="HS240" s="304"/>
      <c r="HT240" s="304"/>
      <c r="HU240" s="304"/>
      <c r="HV240" s="304"/>
      <c r="HW240" s="304"/>
      <c r="HX240" s="304"/>
      <c r="HY240" s="304"/>
      <c r="HZ240" s="304"/>
      <c r="IA240" s="304"/>
      <c r="IB240" s="304"/>
      <c r="IC240" s="304"/>
      <c r="ID240" s="304"/>
      <c r="IE240" s="304"/>
      <c r="IF240" s="304"/>
      <c r="IG240" s="304"/>
      <c r="IH240" s="304"/>
      <c r="II240" s="304"/>
      <c r="IJ240" s="304"/>
      <c r="IK240" s="304"/>
      <c r="IL240" s="304"/>
      <c r="IM240" s="304"/>
      <c r="IN240" s="304"/>
      <c r="IO240" s="304"/>
      <c r="IP240" s="304"/>
      <c r="IQ240" s="304"/>
      <c r="IR240" s="304"/>
      <c r="IS240" s="304"/>
      <c r="IT240" s="304"/>
      <c r="IU240" s="304"/>
      <c r="IV240" s="304"/>
    </row>
    <row r="241" spans="1:15" ht="23.25">
      <c r="A241" s="323">
        <v>2</v>
      </c>
      <c r="B241" s="324" t="s">
        <v>406</v>
      </c>
      <c r="C241" s="363">
        <v>0.31</v>
      </c>
      <c r="D241" s="326">
        <v>1293041</v>
      </c>
      <c r="E241" s="329">
        <f>$E$167*C241</f>
        <v>1293041</v>
      </c>
      <c r="F241" s="327">
        <f>SUM(E242:E250)</f>
        <v>2133517</v>
      </c>
      <c r="G241" s="364">
        <f t="shared" si="29"/>
        <v>0.9999992266293181</v>
      </c>
      <c r="H241" s="329">
        <f>+H242+H245+H250</f>
        <v>1293040</v>
      </c>
      <c r="I241" s="329">
        <f>+I242+I245+I250</f>
        <v>1293040</v>
      </c>
      <c r="J241" s="328">
        <f t="shared" si="0"/>
        <v>0</v>
      </c>
      <c r="K241" s="330">
        <f>SUM(K242,K245,K250)</f>
        <v>0</v>
      </c>
      <c r="M241" s="174">
        <f t="shared" si="1"/>
        <v>0</v>
      </c>
      <c r="O241" s="144"/>
    </row>
    <row r="242" spans="1:15" ht="23.25">
      <c r="A242" s="251" t="s">
        <v>62</v>
      </c>
      <c r="B242" s="252" t="s">
        <v>407</v>
      </c>
      <c r="C242" s="253">
        <v>0.25</v>
      </c>
      <c r="D242" s="254">
        <v>323260</v>
      </c>
      <c r="E242" s="257">
        <v>323260</v>
      </c>
      <c r="F242" s="255"/>
      <c r="G242" s="256">
        <f t="shared" si="29"/>
        <v>1</v>
      </c>
      <c r="H242" s="257">
        <f aca="true" t="shared" si="34" ref="H242:H261">+I242+K242</f>
        <v>323260</v>
      </c>
      <c r="I242" s="257">
        <f>+I243+I244</f>
        <v>323260</v>
      </c>
      <c r="J242" s="256">
        <f t="shared" si="0"/>
        <v>0</v>
      </c>
      <c r="K242" s="258">
        <f>SUM(K243:K244)</f>
        <v>0</v>
      </c>
      <c r="M242" s="174">
        <f t="shared" si="1"/>
        <v>0</v>
      </c>
      <c r="O242" s="144"/>
    </row>
    <row r="243" spans="1:256" ht="23.25">
      <c r="A243" s="309" t="s">
        <v>408</v>
      </c>
      <c r="B243" s="294" t="s">
        <v>409</v>
      </c>
      <c r="C243" s="319">
        <f>+E243/E242</f>
        <v>0.3101528181649446</v>
      </c>
      <c r="D243" s="310"/>
      <c r="E243" s="299">
        <v>100260</v>
      </c>
      <c r="F243" s="311"/>
      <c r="G243" s="298">
        <f t="shared" si="29"/>
        <v>1</v>
      </c>
      <c r="H243" s="299">
        <f t="shared" si="34"/>
        <v>100260</v>
      </c>
      <c r="I243" s="299">
        <v>100260</v>
      </c>
      <c r="J243" s="298">
        <f t="shared" si="0"/>
        <v>0</v>
      </c>
      <c r="K243" s="300">
        <v>0</v>
      </c>
      <c r="M243" s="174">
        <f t="shared" si="1"/>
        <v>0</v>
      </c>
      <c r="O243" s="144"/>
      <c r="FH243" s="359"/>
      <c r="FI243" s="359"/>
      <c r="FJ243" s="359"/>
      <c r="FK243" s="359"/>
      <c r="FL243" s="359"/>
      <c r="FM243" s="359"/>
      <c r="FN243" s="359"/>
      <c r="FO243" s="359"/>
      <c r="FP243" s="359"/>
      <c r="FQ243" s="359"/>
      <c r="FR243" s="359"/>
      <c r="FS243" s="359"/>
      <c r="FT243" s="359"/>
      <c r="FU243" s="359"/>
      <c r="FV243" s="359"/>
      <c r="FW243" s="359"/>
      <c r="FX243" s="359"/>
      <c r="FY243" s="359"/>
      <c r="FZ243" s="359"/>
      <c r="GA243" s="359"/>
      <c r="GB243" s="359"/>
      <c r="GC243" s="359"/>
      <c r="GD243" s="359"/>
      <c r="GE243" s="359"/>
      <c r="GF243" s="359"/>
      <c r="GG243" s="359"/>
      <c r="GH243" s="359"/>
      <c r="GI243" s="359"/>
      <c r="GJ243" s="359"/>
      <c r="GK243" s="359"/>
      <c r="GL243" s="359"/>
      <c r="GM243" s="359"/>
      <c r="GN243" s="359"/>
      <c r="GO243" s="359"/>
      <c r="GP243" s="359"/>
      <c r="GQ243" s="359"/>
      <c r="GR243" s="359"/>
      <c r="GS243" s="359"/>
      <c r="GT243" s="359"/>
      <c r="GU243" s="359"/>
      <c r="GV243" s="359"/>
      <c r="GW243" s="359"/>
      <c r="GX243" s="359"/>
      <c r="GY243" s="359"/>
      <c r="GZ243" s="359"/>
      <c r="HA243" s="359"/>
      <c r="HB243" s="359"/>
      <c r="HC243" s="359"/>
      <c r="HD243" s="359"/>
      <c r="HE243" s="359"/>
      <c r="HF243" s="359"/>
      <c r="HG243" s="359"/>
      <c r="HH243" s="359"/>
      <c r="HI243" s="359"/>
      <c r="HJ243" s="359"/>
      <c r="HK243" s="359"/>
      <c r="HL243" s="359"/>
      <c r="HM243" s="359"/>
      <c r="HN243" s="359"/>
      <c r="HO243" s="359"/>
      <c r="HP243" s="359"/>
      <c r="HQ243" s="359"/>
      <c r="HR243" s="359"/>
      <c r="HS243" s="359"/>
      <c r="HT243" s="359"/>
      <c r="HU243" s="359"/>
      <c r="HV243" s="359"/>
      <c r="HW243" s="359"/>
      <c r="HX243" s="359"/>
      <c r="HY243" s="359"/>
      <c r="HZ243" s="359"/>
      <c r="IA243" s="359"/>
      <c r="IB243" s="359"/>
      <c r="IC243" s="359"/>
      <c r="ID243" s="359"/>
      <c r="IE243" s="359"/>
      <c r="IF243" s="359"/>
      <c r="IG243" s="359"/>
      <c r="IH243" s="359"/>
      <c r="II243" s="359"/>
      <c r="IJ243" s="359"/>
      <c r="IK243" s="359"/>
      <c r="IL243" s="359"/>
      <c r="IM243" s="359"/>
      <c r="IN243" s="359"/>
      <c r="IO243" s="359"/>
      <c r="IP243" s="359"/>
      <c r="IQ243" s="359"/>
      <c r="IR243" s="359"/>
      <c r="IS243" s="359"/>
      <c r="IT243" s="359"/>
      <c r="IU243" s="359"/>
      <c r="IV243" s="359"/>
    </row>
    <row r="244" spans="1:256" ht="23.25">
      <c r="A244" s="309" t="s">
        <v>410</v>
      </c>
      <c r="B244" s="294" t="s">
        <v>411</v>
      </c>
      <c r="C244" s="319">
        <f>+E244/E242</f>
        <v>0.6898471818350553</v>
      </c>
      <c r="D244" s="310"/>
      <c r="E244" s="299">
        <v>223000</v>
      </c>
      <c r="F244" s="311"/>
      <c r="G244" s="298">
        <f t="shared" si="29"/>
        <v>1</v>
      </c>
      <c r="H244" s="299">
        <f t="shared" si="34"/>
        <v>223000</v>
      </c>
      <c r="I244" s="299">
        <v>223000</v>
      </c>
      <c r="J244" s="298">
        <f t="shared" si="0"/>
        <v>0</v>
      </c>
      <c r="K244" s="300">
        <v>0</v>
      </c>
      <c r="M244" s="174">
        <f t="shared" si="1"/>
        <v>0</v>
      </c>
      <c r="O244" s="144"/>
      <c r="FH244" s="359"/>
      <c r="FI244" s="359"/>
      <c r="FJ244" s="359"/>
      <c r="FK244" s="359"/>
      <c r="FL244" s="359"/>
      <c r="FM244" s="359"/>
      <c r="FN244" s="359"/>
      <c r="FO244" s="359"/>
      <c r="FP244" s="359"/>
      <c r="FQ244" s="359"/>
      <c r="FR244" s="359"/>
      <c r="FS244" s="359"/>
      <c r="FT244" s="359"/>
      <c r="FU244" s="359"/>
      <c r="FV244" s="359"/>
      <c r="FW244" s="359"/>
      <c r="FX244" s="359"/>
      <c r="FY244" s="359"/>
      <c r="FZ244" s="359"/>
      <c r="GA244" s="359"/>
      <c r="GB244" s="359"/>
      <c r="GC244" s="359"/>
      <c r="GD244" s="359"/>
      <c r="GE244" s="359"/>
      <c r="GF244" s="359"/>
      <c r="GG244" s="359"/>
      <c r="GH244" s="359"/>
      <c r="GI244" s="359"/>
      <c r="GJ244" s="359"/>
      <c r="GK244" s="359"/>
      <c r="GL244" s="359"/>
      <c r="GM244" s="359"/>
      <c r="GN244" s="359"/>
      <c r="GO244" s="359"/>
      <c r="GP244" s="359"/>
      <c r="GQ244" s="359"/>
      <c r="GR244" s="359"/>
      <c r="GS244" s="359"/>
      <c r="GT244" s="359"/>
      <c r="GU244" s="359"/>
      <c r="GV244" s="359"/>
      <c r="GW244" s="359"/>
      <c r="GX244" s="359"/>
      <c r="GY244" s="359"/>
      <c r="GZ244" s="359"/>
      <c r="HA244" s="359"/>
      <c r="HB244" s="359"/>
      <c r="HC244" s="359"/>
      <c r="HD244" s="359"/>
      <c r="HE244" s="359"/>
      <c r="HF244" s="359"/>
      <c r="HG244" s="359"/>
      <c r="HH244" s="359"/>
      <c r="HI244" s="359"/>
      <c r="HJ244" s="359"/>
      <c r="HK244" s="359"/>
      <c r="HL244" s="359"/>
      <c r="HM244" s="359"/>
      <c r="HN244" s="359"/>
      <c r="HO244" s="359"/>
      <c r="HP244" s="359"/>
      <c r="HQ244" s="359"/>
      <c r="HR244" s="359"/>
      <c r="HS244" s="359"/>
      <c r="HT244" s="359"/>
      <c r="HU244" s="359"/>
      <c r="HV244" s="359"/>
      <c r="HW244" s="359"/>
      <c r="HX244" s="359"/>
      <c r="HY244" s="359"/>
      <c r="HZ244" s="359"/>
      <c r="IA244" s="359"/>
      <c r="IB244" s="359"/>
      <c r="IC244" s="359"/>
      <c r="ID244" s="359"/>
      <c r="IE244" s="359"/>
      <c r="IF244" s="359"/>
      <c r="IG244" s="359"/>
      <c r="IH244" s="359"/>
      <c r="II244" s="359"/>
      <c r="IJ244" s="359"/>
      <c r="IK244" s="359"/>
      <c r="IL244" s="359"/>
      <c r="IM244" s="359"/>
      <c r="IN244" s="359"/>
      <c r="IO244" s="359"/>
      <c r="IP244" s="359"/>
      <c r="IQ244" s="359"/>
      <c r="IR244" s="359"/>
      <c r="IS244" s="359"/>
      <c r="IT244" s="359"/>
      <c r="IU244" s="359"/>
      <c r="IV244" s="359"/>
    </row>
    <row r="245" spans="1:15" ht="23.25">
      <c r="A245" s="251" t="s">
        <v>64</v>
      </c>
      <c r="B245" s="252" t="s">
        <v>412</v>
      </c>
      <c r="C245" s="253">
        <v>0.4</v>
      </c>
      <c r="D245" s="254">
        <v>517216</v>
      </c>
      <c r="E245" s="257">
        <v>517216</v>
      </c>
      <c r="F245" s="255"/>
      <c r="G245" s="256">
        <f t="shared" si="29"/>
        <v>1</v>
      </c>
      <c r="H245" s="257">
        <f t="shared" si="34"/>
        <v>517216</v>
      </c>
      <c r="I245" s="257">
        <f>+I246+I247+I248+I249</f>
        <v>517216</v>
      </c>
      <c r="J245" s="256">
        <f t="shared" si="0"/>
        <v>0</v>
      </c>
      <c r="K245" s="258">
        <f>SUM(K246:K249)</f>
        <v>0</v>
      </c>
      <c r="M245" s="174">
        <f t="shared" si="1"/>
        <v>0</v>
      </c>
      <c r="O245" s="144"/>
    </row>
    <row r="246" spans="1:256" ht="23.25">
      <c r="A246" s="309" t="s">
        <v>132</v>
      </c>
      <c r="B246" s="294" t="s">
        <v>413</v>
      </c>
      <c r="C246" s="295">
        <f aca="true" t="shared" si="35" ref="C246:C249">+E246/$E$245</f>
        <v>0.27067994802945</v>
      </c>
      <c r="D246" s="310"/>
      <c r="E246" s="299">
        <v>140000</v>
      </c>
      <c r="F246" s="311"/>
      <c r="G246" s="298">
        <f t="shared" si="29"/>
        <v>1</v>
      </c>
      <c r="H246" s="299">
        <f t="shared" si="34"/>
        <v>140000</v>
      </c>
      <c r="I246" s="299">
        <v>140000</v>
      </c>
      <c r="J246" s="298">
        <f t="shared" si="0"/>
        <v>0</v>
      </c>
      <c r="K246" s="300">
        <v>0</v>
      </c>
      <c r="M246" s="174">
        <f t="shared" si="1"/>
        <v>0</v>
      </c>
      <c r="O246" s="144"/>
      <c r="FH246" s="359"/>
      <c r="FI246" s="359"/>
      <c r="FJ246" s="359"/>
      <c r="FK246" s="359"/>
      <c r="FL246" s="359"/>
      <c r="FM246" s="359"/>
      <c r="FN246" s="359"/>
      <c r="FO246" s="359"/>
      <c r="FP246" s="359"/>
      <c r="FQ246" s="359"/>
      <c r="FR246" s="359"/>
      <c r="FS246" s="359"/>
      <c r="FT246" s="359"/>
      <c r="FU246" s="359"/>
      <c r="FV246" s="359"/>
      <c r="FW246" s="359"/>
      <c r="FX246" s="359"/>
      <c r="FY246" s="359"/>
      <c r="FZ246" s="359"/>
      <c r="GA246" s="359"/>
      <c r="GB246" s="359"/>
      <c r="GC246" s="359"/>
      <c r="GD246" s="359"/>
      <c r="GE246" s="359"/>
      <c r="GF246" s="359"/>
      <c r="GG246" s="359"/>
      <c r="GH246" s="359"/>
      <c r="GI246" s="359"/>
      <c r="GJ246" s="359"/>
      <c r="GK246" s="359"/>
      <c r="GL246" s="359"/>
      <c r="GM246" s="359"/>
      <c r="GN246" s="359"/>
      <c r="GO246" s="359"/>
      <c r="GP246" s="359"/>
      <c r="GQ246" s="359"/>
      <c r="GR246" s="359"/>
      <c r="GS246" s="359"/>
      <c r="GT246" s="359"/>
      <c r="GU246" s="359"/>
      <c r="GV246" s="359"/>
      <c r="GW246" s="359"/>
      <c r="GX246" s="359"/>
      <c r="GY246" s="359"/>
      <c r="GZ246" s="359"/>
      <c r="HA246" s="359"/>
      <c r="HB246" s="359"/>
      <c r="HC246" s="359"/>
      <c r="HD246" s="359"/>
      <c r="HE246" s="359"/>
      <c r="HF246" s="359"/>
      <c r="HG246" s="359"/>
      <c r="HH246" s="359"/>
      <c r="HI246" s="359"/>
      <c r="HJ246" s="359"/>
      <c r="HK246" s="359"/>
      <c r="HL246" s="359"/>
      <c r="HM246" s="359"/>
      <c r="HN246" s="359"/>
      <c r="HO246" s="359"/>
      <c r="HP246" s="359"/>
      <c r="HQ246" s="359"/>
      <c r="HR246" s="359"/>
      <c r="HS246" s="359"/>
      <c r="HT246" s="359"/>
      <c r="HU246" s="359"/>
      <c r="HV246" s="359"/>
      <c r="HW246" s="359"/>
      <c r="HX246" s="359"/>
      <c r="HY246" s="359"/>
      <c r="HZ246" s="359"/>
      <c r="IA246" s="359"/>
      <c r="IB246" s="359"/>
      <c r="IC246" s="359"/>
      <c r="ID246" s="359"/>
      <c r="IE246" s="359"/>
      <c r="IF246" s="359"/>
      <c r="IG246" s="359"/>
      <c r="IH246" s="359"/>
      <c r="II246" s="359"/>
      <c r="IJ246" s="359"/>
      <c r="IK246" s="359"/>
      <c r="IL246" s="359"/>
      <c r="IM246" s="359"/>
      <c r="IN246" s="359"/>
      <c r="IO246" s="359"/>
      <c r="IP246" s="359"/>
      <c r="IQ246" s="359"/>
      <c r="IR246" s="359"/>
      <c r="IS246" s="359"/>
      <c r="IT246" s="359"/>
      <c r="IU246" s="359"/>
      <c r="IV246" s="359"/>
    </row>
    <row r="247" spans="1:256" ht="23.25">
      <c r="A247" s="309" t="s">
        <v>134</v>
      </c>
      <c r="B247" s="294" t="s">
        <v>414</v>
      </c>
      <c r="C247" s="295">
        <f t="shared" si="35"/>
        <v>0.3890366887335272</v>
      </c>
      <c r="D247" s="310"/>
      <c r="E247" s="299">
        <v>201216</v>
      </c>
      <c r="F247" s="311"/>
      <c r="G247" s="298">
        <f t="shared" si="29"/>
        <v>1</v>
      </c>
      <c r="H247" s="299">
        <f t="shared" si="34"/>
        <v>201216</v>
      </c>
      <c r="I247" s="299">
        <v>201216</v>
      </c>
      <c r="J247" s="298">
        <f t="shared" si="0"/>
        <v>0</v>
      </c>
      <c r="K247" s="300">
        <v>0</v>
      </c>
      <c r="M247" s="174">
        <f t="shared" si="1"/>
        <v>0</v>
      </c>
      <c r="O247" s="144"/>
      <c r="FH247" s="359"/>
      <c r="FI247" s="359"/>
      <c r="FJ247" s="359"/>
      <c r="FK247" s="359"/>
      <c r="FL247" s="359"/>
      <c r="FM247" s="359"/>
      <c r="FN247" s="359"/>
      <c r="FO247" s="359"/>
      <c r="FP247" s="359"/>
      <c r="FQ247" s="359"/>
      <c r="FR247" s="359"/>
      <c r="FS247" s="359"/>
      <c r="FT247" s="359"/>
      <c r="FU247" s="359"/>
      <c r="FV247" s="359"/>
      <c r="FW247" s="359"/>
      <c r="FX247" s="359"/>
      <c r="FY247" s="359"/>
      <c r="FZ247" s="359"/>
      <c r="GA247" s="359"/>
      <c r="GB247" s="359"/>
      <c r="GC247" s="359"/>
      <c r="GD247" s="359"/>
      <c r="GE247" s="359"/>
      <c r="GF247" s="359"/>
      <c r="GG247" s="359"/>
      <c r="GH247" s="359"/>
      <c r="GI247" s="359"/>
      <c r="GJ247" s="359"/>
      <c r="GK247" s="359"/>
      <c r="GL247" s="359"/>
      <c r="GM247" s="359"/>
      <c r="GN247" s="359"/>
      <c r="GO247" s="359"/>
      <c r="GP247" s="359"/>
      <c r="GQ247" s="359"/>
      <c r="GR247" s="359"/>
      <c r="GS247" s="359"/>
      <c r="GT247" s="359"/>
      <c r="GU247" s="359"/>
      <c r="GV247" s="359"/>
      <c r="GW247" s="359"/>
      <c r="GX247" s="359"/>
      <c r="GY247" s="359"/>
      <c r="GZ247" s="359"/>
      <c r="HA247" s="359"/>
      <c r="HB247" s="359"/>
      <c r="HC247" s="359"/>
      <c r="HD247" s="359"/>
      <c r="HE247" s="359"/>
      <c r="HF247" s="359"/>
      <c r="HG247" s="359"/>
      <c r="HH247" s="359"/>
      <c r="HI247" s="359"/>
      <c r="HJ247" s="359"/>
      <c r="HK247" s="359"/>
      <c r="HL247" s="359"/>
      <c r="HM247" s="359"/>
      <c r="HN247" s="359"/>
      <c r="HO247" s="359"/>
      <c r="HP247" s="359"/>
      <c r="HQ247" s="359"/>
      <c r="HR247" s="359"/>
      <c r="HS247" s="359"/>
      <c r="HT247" s="359"/>
      <c r="HU247" s="359"/>
      <c r="HV247" s="359"/>
      <c r="HW247" s="359"/>
      <c r="HX247" s="359"/>
      <c r="HY247" s="359"/>
      <c r="HZ247" s="359"/>
      <c r="IA247" s="359"/>
      <c r="IB247" s="359"/>
      <c r="IC247" s="359"/>
      <c r="ID247" s="359"/>
      <c r="IE247" s="359"/>
      <c r="IF247" s="359"/>
      <c r="IG247" s="359"/>
      <c r="IH247" s="359"/>
      <c r="II247" s="359"/>
      <c r="IJ247" s="359"/>
      <c r="IK247" s="359"/>
      <c r="IL247" s="359"/>
      <c r="IM247" s="359"/>
      <c r="IN247" s="359"/>
      <c r="IO247" s="359"/>
      <c r="IP247" s="359"/>
      <c r="IQ247" s="359"/>
      <c r="IR247" s="359"/>
      <c r="IS247" s="359"/>
      <c r="IT247" s="359"/>
      <c r="IU247" s="359"/>
      <c r="IV247" s="359"/>
    </row>
    <row r="248" spans="1:256" ht="23.25">
      <c r="A248" s="309" t="s">
        <v>415</v>
      </c>
      <c r="B248" s="294" t="s">
        <v>416</v>
      </c>
      <c r="C248" s="295">
        <f t="shared" si="35"/>
        <v>0.18560910722019427</v>
      </c>
      <c r="D248" s="310"/>
      <c r="E248" s="299">
        <v>96000</v>
      </c>
      <c r="F248" s="311"/>
      <c r="G248" s="298">
        <f t="shared" si="29"/>
        <v>1</v>
      </c>
      <c r="H248" s="299">
        <f t="shared" si="34"/>
        <v>96000</v>
      </c>
      <c r="I248" s="299">
        <v>96000</v>
      </c>
      <c r="J248" s="298">
        <f t="shared" si="0"/>
        <v>0</v>
      </c>
      <c r="K248" s="300">
        <v>0</v>
      </c>
      <c r="M248" s="174">
        <f t="shared" si="1"/>
        <v>0</v>
      </c>
      <c r="O248" s="144"/>
      <c r="FH248" s="359"/>
      <c r="FI248" s="359"/>
      <c r="FJ248" s="359"/>
      <c r="FK248" s="359"/>
      <c r="FL248" s="359"/>
      <c r="FM248" s="359"/>
      <c r="FN248" s="359"/>
      <c r="FO248" s="359"/>
      <c r="FP248" s="359"/>
      <c r="FQ248" s="359"/>
      <c r="FR248" s="359"/>
      <c r="FS248" s="359"/>
      <c r="FT248" s="359"/>
      <c r="FU248" s="359"/>
      <c r="FV248" s="359"/>
      <c r="FW248" s="359"/>
      <c r="FX248" s="359"/>
      <c r="FY248" s="359"/>
      <c r="FZ248" s="359"/>
      <c r="GA248" s="359"/>
      <c r="GB248" s="359"/>
      <c r="GC248" s="359"/>
      <c r="GD248" s="359"/>
      <c r="GE248" s="359"/>
      <c r="GF248" s="359"/>
      <c r="GG248" s="359"/>
      <c r="GH248" s="359"/>
      <c r="GI248" s="359"/>
      <c r="GJ248" s="359"/>
      <c r="GK248" s="359"/>
      <c r="GL248" s="359"/>
      <c r="GM248" s="359"/>
      <c r="GN248" s="359"/>
      <c r="GO248" s="359"/>
      <c r="GP248" s="359"/>
      <c r="GQ248" s="359"/>
      <c r="GR248" s="359"/>
      <c r="GS248" s="359"/>
      <c r="GT248" s="359"/>
      <c r="GU248" s="359"/>
      <c r="GV248" s="359"/>
      <c r="GW248" s="359"/>
      <c r="GX248" s="359"/>
      <c r="GY248" s="359"/>
      <c r="GZ248" s="359"/>
      <c r="HA248" s="359"/>
      <c r="HB248" s="359"/>
      <c r="HC248" s="359"/>
      <c r="HD248" s="359"/>
      <c r="HE248" s="359"/>
      <c r="HF248" s="359"/>
      <c r="HG248" s="359"/>
      <c r="HH248" s="359"/>
      <c r="HI248" s="359"/>
      <c r="HJ248" s="359"/>
      <c r="HK248" s="359"/>
      <c r="HL248" s="359"/>
      <c r="HM248" s="359"/>
      <c r="HN248" s="359"/>
      <c r="HO248" s="359"/>
      <c r="HP248" s="359"/>
      <c r="HQ248" s="359"/>
      <c r="HR248" s="359"/>
      <c r="HS248" s="359"/>
      <c r="HT248" s="359"/>
      <c r="HU248" s="359"/>
      <c r="HV248" s="359"/>
      <c r="HW248" s="359"/>
      <c r="HX248" s="359"/>
      <c r="HY248" s="359"/>
      <c r="HZ248" s="359"/>
      <c r="IA248" s="359"/>
      <c r="IB248" s="359"/>
      <c r="IC248" s="359"/>
      <c r="ID248" s="359"/>
      <c r="IE248" s="359"/>
      <c r="IF248" s="359"/>
      <c r="IG248" s="359"/>
      <c r="IH248" s="359"/>
      <c r="II248" s="359"/>
      <c r="IJ248" s="359"/>
      <c r="IK248" s="359"/>
      <c r="IL248" s="359"/>
      <c r="IM248" s="359"/>
      <c r="IN248" s="359"/>
      <c r="IO248" s="359"/>
      <c r="IP248" s="359"/>
      <c r="IQ248" s="359"/>
      <c r="IR248" s="359"/>
      <c r="IS248" s="359"/>
      <c r="IT248" s="359"/>
      <c r="IU248" s="359"/>
      <c r="IV248" s="359"/>
    </row>
    <row r="249" spans="1:256" ht="23.25">
      <c r="A249" s="309" t="s">
        <v>417</v>
      </c>
      <c r="B249" s="294" t="s">
        <v>418</v>
      </c>
      <c r="C249" s="295">
        <f t="shared" si="35"/>
        <v>0.15467425601682855</v>
      </c>
      <c r="D249" s="310"/>
      <c r="E249" s="299">
        <v>80000</v>
      </c>
      <c r="F249" s="311"/>
      <c r="G249" s="298">
        <f t="shared" si="29"/>
        <v>1</v>
      </c>
      <c r="H249" s="299">
        <f t="shared" si="34"/>
        <v>80000</v>
      </c>
      <c r="I249" s="299">
        <v>80000</v>
      </c>
      <c r="J249" s="298">
        <f t="shared" si="0"/>
        <v>0</v>
      </c>
      <c r="K249" s="300">
        <v>0</v>
      </c>
      <c r="M249" s="174">
        <f t="shared" si="1"/>
        <v>0</v>
      </c>
      <c r="O249" s="144"/>
      <c r="FH249" s="359"/>
      <c r="FI249" s="359"/>
      <c r="FJ249" s="359"/>
      <c r="FK249" s="359"/>
      <c r="FL249" s="359"/>
      <c r="FM249" s="359"/>
      <c r="FN249" s="359"/>
      <c r="FO249" s="359"/>
      <c r="FP249" s="359"/>
      <c r="FQ249" s="359"/>
      <c r="FR249" s="359"/>
      <c r="FS249" s="359"/>
      <c r="FT249" s="359"/>
      <c r="FU249" s="359"/>
      <c r="FV249" s="359"/>
      <c r="FW249" s="359"/>
      <c r="FX249" s="359"/>
      <c r="FY249" s="359"/>
      <c r="FZ249" s="359"/>
      <c r="GA249" s="359"/>
      <c r="GB249" s="359"/>
      <c r="GC249" s="359"/>
      <c r="GD249" s="359"/>
      <c r="GE249" s="359"/>
      <c r="GF249" s="359"/>
      <c r="GG249" s="359"/>
      <c r="GH249" s="359"/>
      <c r="GI249" s="359"/>
      <c r="GJ249" s="359"/>
      <c r="GK249" s="359"/>
      <c r="GL249" s="359"/>
      <c r="GM249" s="359"/>
      <c r="GN249" s="359"/>
      <c r="GO249" s="359"/>
      <c r="GP249" s="359"/>
      <c r="GQ249" s="359"/>
      <c r="GR249" s="359"/>
      <c r="GS249" s="359"/>
      <c r="GT249" s="359"/>
      <c r="GU249" s="359"/>
      <c r="GV249" s="359"/>
      <c r="GW249" s="359"/>
      <c r="GX249" s="359"/>
      <c r="GY249" s="359"/>
      <c r="GZ249" s="359"/>
      <c r="HA249" s="359"/>
      <c r="HB249" s="359"/>
      <c r="HC249" s="359"/>
      <c r="HD249" s="359"/>
      <c r="HE249" s="359"/>
      <c r="HF249" s="359"/>
      <c r="HG249" s="359"/>
      <c r="HH249" s="359"/>
      <c r="HI249" s="359"/>
      <c r="HJ249" s="359"/>
      <c r="HK249" s="359"/>
      <c r="HL249" s="359"/>
      <c r="HM249" s="359"/>
      <c r="HN249" s="359"/>
      <c r="HO249" s="359"/>
      <c r="HP249" s="359"/>
      <c r="HQ249" s="359"/>
      <c r="HR249" s="359"/>
      <c r="HS249" s="359"/>
      <c r="HT249" s="359"/>
      <c r="HU249" s="359"/>
      <c r="HV249" s="359"/>
      <c r="HW249" s="359"/>
      <c r="HX249" s="359"/>
      <c r="HY249" s="359"/>
      <c r="HZ249" s="359"/>
      <c r="IA249" s="359"/>
      <c r="IB249" s="359"/>
      <c r="IC249" s="359"/>
      <c r="ID249" s="359"/>
      <c r="IE249" s="359"/>
      <c r="IF249" s="359"/>
      <c r="IG249" s="359"/>
      <c r="IH249" s="359"/>
      <c r="II249" s="359"/>
      <c r="IJ249" s="359"/>
      <c r="IK249" s="359"/>
      <c r="IL249" s="359"/>
      <c r="IM249" s="359"/>
      <c r="IN249" s="359"/>
      <c r="IO249" s="359"/>
      <c r="IP249" s="359"/>
      <c r="IQ249" s="359"/>
      <c r="IR249" s="359"/>
      <c r="IS249" s="359"/>
      <c r="IT249" s="359"/>
      <c r="IU249" s="359"/>
      <c r="IV249" s="359"/>
    </row>
    <row r="250" spans="1:15" ht="23.25">
      <c r="A250" s="251" t="s">
        <v>66</v>
      </c>
      <c r="B250" s="252" t="s">
        <v>419</v>
      </c>
      <c r="C250" s="253">
        <v>0.35</v>
      </c>
      <c r="D250" s="254">
        <v>452565</v>
      </c>
      <c r="E250" s="257">
        <v>452565</v>
      </c>
      <c r="F250" s="255"/>
      <c r="G250" s="256">
        <f t="shared" si="29"/>
        <v>0.9999977903726537</v>
      </c>
      <c r="H250" s="257">
        <f t="shared" si="34"/>
        <v>452564</v>
      </c>
      <c r="I250" s="257">
        <f>+I251+I252+I253</f>
        <v>452564</v>
      </c>
      <c r="J250" s="256">
        <f t="shared" si="0"/>
        <v>0</v>
      </c>
      <c r="K250" s="258">
        <f>SUM(K251:K253)</f>
        <v>0</v>
      </c>
      <c r="M250" s="174">
        <f t="shared" si="1"/>
        <v>0</v>
      </c>
      <c r="O250" s="144"/>
    </row>
    <row r="251" spans="1:256" ht="23.25">
      <c r="A251" s="309" t="s">
        <v>137</v>
      </c>
      <c r="B251" s="294" t="s">
        <v>420</v>
      </c>
      <c r="C251" s="319">
        <f>+E251/E250</f>
        <v>0.8175621181487742</v>
      </c>
      <c r="D251" s="310"/>
      <c r="E251" s="299">
        <v>370000</v>
      </c>
      <c r="F251" s="311"/>
      <c r="G251" s="298">
        <f t="shared" si="29"/>
        <v>1</v>
      </c>
      <c r="H251" s="299">
        <f t="shared" si="34"/>
        <v>370000</v>
      </c>
      <c r="I251" s="299">
        <v>370000</v>
      </c>
      <c r="J251" s="298">
        <f t="shared" si="0"/>
        <v>0</v>
      </c>
      <c r="K251" s="300">
        <v>0</v>
      </c>
      <c r="M251" s="174">
        <f t="shared" si="1"/>
        <v>0</v>
      </c>
      <c r="O251" s="144"/>
      <c r="FH251" s="359"/>
      <c r="FI251" s="359"/>
      <c r="FJ251" s="359"/>
      <c r="FK251" s="359"/>
      <c r="FL251" s="359"/>
      <c r="FM251" s="359"/>
      <c r="FN251" s="359"/>
      <c r="FO251" s="359"/>
      <c r="FP251" s="359"/>
      <c r="FQ251" s="359"/>
      <c r="FR251" s="359"/>
      <c r="FS251" s="359"/>
      <c r="FT251" s="359"/>
      <c r="FU251" s="359"/>
      <c r="FV251" s="359"/>
      <c r="FW251" s="359"/>
      <c r="FX251" s="359"/>
      <c r="FY251" s="359"/>
      <c r="FZ251" s="359"/>
      <c r="GA251" s="359"/>
      <c r="GB251" s="359"/>
      <c r="GC251" s="359"/>
      <c r="GD251" s="359"/>
      <c r="GE251" s="359"/>
      <c r="GF251" s="359"/>
      <c r="GG251" s="359"/>
      <c r="GH251" s="359"/>
      <c r="GI251" s="359"/>
      <c r="GJ251" s="359"/>
      <c r="GK251" s="359"/>
      <c r="GL251" s="359"/>
      <c r="GM251" s="359"/>
      <c r="GN251" s="359"/>
      <c r="GO251" s="359"/>
      <c r="GP251" s="359"/>
      <c r="GQ251" s="359"/>
      <c r="GR251" s="359"/>
      <c r="GS251" s="359"/>
      <c r="GT251" s="359"/>
      <c r="GU251" s="359"/>
      <c r="GV251" s="359"/>
      <c r="GW251" s="359"/>
      <c r="GX251" s="359"/>
      <c r="GY251" s="359"/>
      <c r="GZ251" s="359"/>
      <c r="HA251" s="359"/>
      <c r="HB251" s="359"/>
      <c r="HC251" s="359"/>
      <c r="HD251" s="359"/>
      <c r="HE251" s="359"/>
      <c r="HF251" s="359"/>
      <c r="HG251" s="359"/>
      <c r="HH251" s="359"/>
      <c r="HI251" s="359"/>
      <c r="HJ251" s="359"/>
      <c r="HK251" s="359"/>
      <c r="HL251" s="359"/>
      <c r="HM251" s="359"/>
      <c r="HN251" s="359"/>
      <c r="HO251" s="359"/>
      <c r="HP251" s="359"/>
      <c r="HQ251" s="359"/>
      <c r="HR251" s="359"/>
      <c r="HS251" s="359"/>
      <c r="HT251" s="359"/>
      <c r="HU251" s="359"/>
      <c r="HV251" s="359"/>
      <c r="HW251" s="359"/>
      <c r="HX251" s="359"/>
      <c r="HY251" s="359"/>
      <c r="HZ251" s="359"/>
      <c r="IA251" s="359"/>
      <c r="IB251" s="359"/>
      <c r="IC251" s="359"/>
      <c r="ID251" s="359"/>
      <c r="IE251" s="359"/>
      <c r="IF251" s="359"/>
      <c r="IG251" s="359"/>
      <c r="IH251" s="359"/>
      <c r="II251" s="359"/>
      <c r="IJ251" s="359"/>
      <c r="IK251" s="359"/>
      <c r="IL251" s="359"/>
      <c r="IM251" s="359"/>
      <c r="IN251" s="359"/>
      <c r="IO251" s="359"/>
      <c r="IP251" s="359"/>
      <c r="IQ251" s="359"/>
      <c r="IR251" s="359"/>
      <c r="IS251" s="359"/>
      <c r="IT251" s="359"/>
      <c r="IU251" s="359"/>
      <c r="IV251" s="359"/>
    </row>
    <row r="252" spans="1:256" ht="23.25">
      <c r="A252" s="309" t="s">
        <v>139</v>
      </c>
      <c r="B252" s="294" t="s">
        <v>421</v>
      </c>
      <c r="C252" s="319">
        <f>+E252/E250</f>
        <v>0.08838509385392154</v>
      </c>
      <c r="D252" s="310"/>
      <c r="E252" s="299">
        <v>40000</v>
      </c>
      <c r="F252" s="311"/>
      <c r="G252" s="298">
        <f t="shared" si="29"/>
        <v>1</v>
      </c>
      <c r="H252" s="299">
        <f t="shared" si="34"/>
        <v>40000</v>
      </c>
      <c r="I252" s="299">
        <v>40000</v>
      </c>
      <c r="J252" s="298">
        <f t="shared" si="0"/>
        <v>0</v>
      </c>
      <c r="K252" s="300">
        <v>0</v>
      </c>
      <c r="M252" s="174">
        <f t="shared" si="1"/>
        <v>0</v>
      </c>
      <c r="O252" s="144"/>
      <c r="FH252" s="359"/>
      <c r="FI252" s="359"/>
      <c r="FJ252" s="359"/>
      <c r="FK252" s="359"/>
      <c r="FL252" s="359"/>
      <c r="FM252" s="359"/>
      <c r="FN252" s="359"/>
      <c r="FO252" s="359"/>
      <c r="FP252" s="359"/>
      <c r="FQ252" s="359"/>
      <c r="FR252" s="359"/>
      <c r="FS252" s="359"/>
      <c r="FT252" s="359"/>
      <c r="FU252" s="359"/>
      <c r="FV252" s="359"/>
      <c r="FW252" s="359"/>
      <c r="FX252" s="359"/>
      <c r="FY252" s="359"/>
      <c r="FZ252" s="359"/>
      <c r="GA252" s="359"/>
      <c r="GB252" s="359"/>
      <c r="GC252" s="359"/>
      <c r="GD252" s="359"/>
      <c r="GE252" s="359"/>
      <c r="GF252" s="359"/>
      <c r="GG252" s="359"/>
      <c r="GH252" s="359"/>
      <c r="GI252" s="359"/>
      <c r="GJ252" s="359"/>
      <c r="GK252" s="359"/>
      <c r="GL252" s="359"/>
      <c r="GM252" s="359"/>
      <c r="GN252" s="359"/>
      <c r="GO252" s="359"/>
      <c r="GP252" s="359"/>
      <c r="GQ252" s="359"/>
      <c r="GR252" s="359"/>
      <c r="GS252" s="359"/>
      <c r="GT252" s="359"/>
      <c r="GU252" s="359"/>
      <c r="GV252" s="359"/>
      <c r="GW252" s="359"/>
      <c r="GX252" s="359"/>
      <c r="GY252" s="359"/>
      <c r="GZ252" s="359"/>
      <c r="HA252" s="359"/>
      <c r="HB252" s="359"/>
      <c r="HC252" s="359"/>
      <c r="HD252" s="359"/>
      <c r="HE252" s="359"/>
      <c r="HF252" s="359"/>
      <c r="HG252" s="359"/>
      <c r="HH252" s="359"/>
      <c r="HI252" s="359"/>
      <c r="HJ252" s="359"/>
      <c r="HK252" s="359"/>
      <c r="HL252" s="359"/>
      <c r="HM252" s="359"/>
      <c r="HN252" s="359"/>
      <c r="HO252" s="359"/>
      <c r="HP252" s="359"/>
      <c r="HQ252" s="359"/>
      <c r="HR252" s="359"/>
      <c r="HS252" s="359"/>
      <c r="HT252" s="359"/>
      <c r="HU252" s="359"/>
      <c r="HV252" s="359"/>
      <c r="HW252" s="359"/>
      <c r="HX252" s="359"/>
      <c r="HY252" s="359"/>
      <c r="HZ252" s="359"/>
      <c r="IA252" s="359"/>
      <c r="IB252" s="359"/>
      <c r="IC252" s="359"/>
      <c r="ID252" s="359"/>
      <c r="IE252" s="359"/>
      <c r="IF252" s="359"/>
      <c r="IG252" s="359"/>
      <c r="IH252" s="359"/>
      <c r="II252" s="359"/>
      <c r="IJ252" s="359"/>
      <c r="IK252" s="359"/>
      <c r="IL252" s="359"/>
      <c r="IM252" s="359"/>
      <c r="IN252" s="359"/>
      <c r="IO252" s="359"/>
      <c r="IP252" s="359"/>
      <c r="IQ252" s="359"/>
      <c r="IR252" s="359"/>
      <c r="IS252" s="359"/>
      <c r="IT252" s="359"/>
      <c r="IU252" s="359"/>
      <c r="IV252" s="359"/>
    </row>
    <row r="253" spans="1:256" ht="23.25">
      <c r="A253" s="309" t="s">
        <v>422</v>
      </c>
      <c r="B253" s="294" t="s">
        <v>423</v>
      </c>
      <c r="C253" s="319">
        <f>+E253/E250</f>
        <v>0.09405057836995791</v>
      </c>
      <c r="D253" s="310"/>
      <c r="E253" s="299">
        <v>42564</v>
      </c>
      <c r="F253" s="311"/>
      <c r="G253" s="298">
        <f t="shared" si="29"/>
        <v>1</v>
      </c>
      <c r="H253" s="299">
        <f t="shared" si="34"/>
        <v>42564</v>
      </c>
      <c r="I253" s="299">
        <v>42564</v>
      </c>
      <c r="J253" s="298">
        <f t="shared" si="0"/>
        <v>0</v>
      </c>
      <c r="K253" s="300">
        <v>0</v>
      </c>
      <c r="M253" s="174">
        <f t="shared" si="1"/>
        <v>0</v>
      </c>
      <c r="O253" s="144"/>
      <c r="FH253" s="359"/>
      <c r="FI253" s="359"/>
      <c r="FJ253" s="359"/>
      <c r="FK253" s="359"/>
      <c r="FL253" s="359"/>
      <c r="FM253" s="359"/>
      <c r="FN253" s="359"/>
      <c r="FO253" s="359"/>
      <c r="FP253" s="359"/>
      <c r="FQ253" s="359"/>
      <c r="FR253" s="359"/>
      <c r="FS253" s="359"/>
      <c r="FT253" s="359"/>
      <c r="FU253" s="359"/>
      <c r="FV253" s="359"/>
      <c r="FW253" s="359"/>
      <c r="FX253" s="359"/>
      <c r="FY253" s="359"/>
      <c r="FZ253" s="359"/>
      <c r="GA253" s="359"/>
      <c r="GB253" s="359"/>
      <c r="GC253" s="359"/>
      <c r="GD253" s="359"/>
      <c r="GE253" s="359"/>
      <c r="GF253" s="359"/>
      <c r="GG253" s="359"/>
      <c r="GH253" s="359"/>
      <c r="GI253" s="359"/>
      <c r="GJ253" s="359"/>
      <c r="GK253" s="359"/>
      <c r="GL253" s="359"/>
      <c r="GM253" s="359"/>
      <c r="GN253" s="359"/>
      <c r="GO253" s="359"/>
      <c r="GP253" s="359"/>
      <c r="GQ253" s="359"/>
      <c r="GR253" s="359"/>
      <c r="GS253" s="359"/>
      <c r="GT253" s="359"/>
      <c r="GU253" s="359"/>
      <c r="GV253" s="359"/>
      <c r="GW253" s="359"/>
      <c r="GX253" s="359"/>
      <c r="GY253" s="359"/>
      <c r="GZ253" s="359"/>
      <c r="HA253" s="359"/>
      <c r="HB253" s="359"/>
      <c r="HC253" s="359"/>
      <c r="HD253" s="359"/>
      <c r="HE253" s="359"/>
      <c r="HF253" s="359"/>
      <c r="HG253" s="359"/>
      <c r="HH253" s="359"/>
      <c r="HI253" s="359"/>
      <c r="HJ253" s="359"/>
      <c r="HK253" s="359"/>
      <c r="HL253" s="359"/>
      <c r="HM253" s="359"/>
      <c r="HN253" s="359"/>
      <c r="HO253" s="359"/>
      <c r="HP253" s="359"/>
      <c r="HQ253" s="359"/>
      <c r="HR253" s="359"/>
      <c r="HS253" s="359"/>
      <c r="HT253" s="359"/>
      <c r="HU253" s="359"/>
      <c r="HV253" s="359"/>
      <c r="HW253" s="359"/>
      <c r="HX253" s="359"/>
      <c r="HY253" s="359"/>
      <c r="HZ253" s="359"/>
      <c r="IA253" s="359"/>
      <c r="IB253" s="359"/>
      <c r="IC253" s="359"/>
      <c r="ID253" s="359"/>
      <c r="IE253" s="359"/>
      <c r="IF253" s="359"/>
      <c r="IG253" s="359"/>
      <c r="IH253" s="359"/>
      <c r="II253" s="359"/>
      <c r="IJ253" s="359"/>
      <c r="IK253" s="359"/>
      <c r="IL253" s="359"/>
      <c r="IM253" s="359"/>
      <c r="IN253" s="359"/>
      <c r="IO253" s="359"/>
      <c r="IP253" s="359"/>
      <c r="IQ253" s="359"/>
      <c r="IR253" s="359"/>
      <c r="IS253" s="359"/>
      <c r="IT253" s="359"/>
      <c r="IU253" s="359"/>
      <c r="IV253" s="359"/>
    </row>
    <row r="254" spans="1:15" ht="23.25">
      <c r="A254" s="323">
        <v>3</v>
      </c>
      <c r="B254" s="324" t="s">
        <v>424</v>
      </c>
      <c r="C254" s="363">
        <v>0.01</v>
      </c>
      <c r="D254" s="326">
        <v>41711</v>
      </c>
      <c r="E254" s="329">
        <f>$E$167*C254</f>
        <v>41711</v>
      </c>
      <c r="F254" s="327"/>
      <c r="G254" s="364">
        <f t="shared" si="29"/>
        <v>1</v>
      </c>
      <c r="H254" s="329">
        <f t="shared" si="34"/>
        <v>41711</v>
      </c>
      <c r="I254" s="329">
        <v>0</v>
      </c>
      <c r="J254" s="328">
        <f t="shared" si="0"/>
        <v>1</v>
      </c>
      <c r="K254" s="330">
        <f>SUM(K255:K255)</f>
        <v>41711</v>
      </c>
      <c r="M254" s="174">
        <f t="shared" si="1"/>
        <v>41711</v>
      </c>
      <c r="O254" s="144"/>
    </row>
    <row r="255" spans="1:256" ht="23.25">
      <c r="A255" s="251">
        <v>3.1</v>
      </c>
      <c r="B255" s="252" t="s">
        <v>814</v>
      </c>
      <c r="C255" s="378">
        <f>+E255/E254</f>
        <v>1</v>
      </c>
      <c r="D255" s="379"/>
      <c r="E255" s="257">
        <v>41711</v>
      </c>
      <c r="F255" s="380"/>
      <c r="G255" s="381">
        <f t="shared" si="29"/>
        <v>1</v>
      </c>
      <c r="H255" s="382">
        <f t="shared" si="34"/>
        <v>41711</v>
      </c>
      <c r="I255" s="382">
        <v>0</v>
      </c>
      <c r="J255" s="256">
        <f t="shared" si="0"/>
        <v>1</v>
      </c>
      <c r="K255" s="383">
        <v>41711</v>
      </c>
      <c r="M255" s="174">
        <f t="shared" si="1"/>
        <v>41711</v>
      </c>
      <c r="O255" s="144"/>
      <c r="FH255" s="304"/>
      <c r="FI255" s="304"/>
      <c r="FJ255" s="304"/>
      <c r="FK255" s="304"/>
      <c r="FL255" s="304"/>
      <c r="FM255" s="304"/>
      <c r="FN255" s="304"/>
      <c r="FO255" s="304"/>
      <c r="FP255" s="304"/>
      <c r="FQ255" s="304"/>
      <c r="FR255" s="304"/>
      <c r="FS255" s="304"/>
      <c r="FT255" s="304"/>
      <c r="FU255" s="304"/>
      <c r="FV255" s="304"/>
      <c r="FW255" s="304"/>
      <c r="FX255" s="304"/>
      <c r="FY255" s="304"/>
      <c r="FZ255" s="304"/>
      <c r="GA255" s="304"/>
      <c r="GB255" s="304"/>
      <c r="GC255" s="304"/>
      <c r="GD255" s="304"/>
      <c r="GE255" s="304"/>
      <c r="GF255" s="304"/>
      <c r="GG255" s="304"/>
      <c r="GH255" s="304"/>
      <c r="GI255" s="304"/>
      <c r="GJ255" s="304"/>
      <c r="GK255" s="304"/>
      <c r="GL255" s="304"/>
      <c r="GM255" s="304"/>
      <c r="GN255" s="304"/>
      <c r="GO255" s="304"/>
      <c r="GP255" s="304"/>
      <c r="GQ255" s="304"/>
      <c r="GR255" s="304"/>
      <c r="GS255" s="304"/>
      <c r="GT255" s="304"/>
      <c r="GU255" s="304"/>
      <c r="GV255" s="304"/>
      <c r="GW255" s="304"/>
      <c r="GX255" s="304"/>
      <c r="GY255" s="304"/>
      <c r="GZ255" s="304"/>
      <c r="HA255" s="304"/>
      <c r="HB255" s="304"/>
      <c r="HC255" s="304"/>
      <c r="HD255" s="304"/>
      <c r="HE255" s="304"/>
      <c r="HF255" s="304"/>
      <c r="HG255" s="304"/>
      <c r="HH255" s="304"/>
      <c r="HI255" s="304"/>
      <c r="HJ255" s="304"/>
      <c r="HK255" s="304"/>
      <c r="HL255" s="304"/>
      <c r="HM255" s="304"/>
      <c r="HN255" s="304"/>
      <c r="HO255" s="304"/>
      <c r="HP255" s="304"/>
      <c r="HQ255" s="304"/>
      <c r="HR255" s="304"/>
      <c r="HS255" s="304"/>
      <c r="HT255" s="304"/>
      <c r="HU255" s="304"/>
      <c r="HV255" s="304"/>
      <c r="HW255" s="304"/>
      <c r="HX255" s="304"/>
      <c r="HY255" s="304"/>
      <c r="HZ255" s="304"/>
      <c r="IA255" s="304"/>
      <c r="IB255" s="304"/>
      <c r="IC255" s="304"/>
      <c r="ID255" s="304"/>
      <c r="IE255" s="304"/>
      <c r="IF255" s="304"/>
      <c r="IG255" s="304"/>
      <c r="IH255" s="304"/>
      <c r="II255" s="304"/>
      <c r="IJ255" s="304"/>
      <c r="IK255" s="304"/>
      <c r="IL255" s="304"/>
      <c r="IM255" s="304"/>
      <c r="IN255" s="304"/>
      <c r="IO255" s="304"/>
      <c r="IP255" s="304"/>
      <c r="IQ255" s="304"/>
      <c r="IR255" s="304"/>
      <c r="IS255" s="304"/>
      <c r="IT255" s="304"/>
      <c r="IU255" s="304"/>
      <c r="IV255" s="304"/>
    </row>
    <row r="256" spans="1:15" ht="23.25">
      <c r="A256" s="323">
        <v>4</v>
      </c>
      <c r="B256" s="324" t="s">
        <v>426</v>
      </c>
      <c r="C256" s="363">
        <v>0.06</v>
      </c>
      <c r="D256" s="326">
        <v>250266</v>
      </c>
      <c r="E256" s="329">
        <f>$E$167*C256</f>
        <v>250266</v>
      </c>
      <c r="F256" s="327"/>
      <c r="G256" s="364">
        <f t="shared" si="29"/>
        <v>1</v>
      </c>
      <c r="H256" s="329">
        <f t="shared" si="34"/>
        <v>250266</v>
      </c>
      <c r="I256" s="329">
        <f>+I257+I258+I259+I260+I261</f>
        <v>204212.8</v>
      </c>
      <c r="J256" s="328">
        <f t="shared" si="0"/>
        <v>0.18401700590571632</v>
      </c>
      <c r="K256" s="330">
        <f>SUM(K257:K261)</f>
        <v>46053.2</v>
      </c>
      <c r="M256" s="174">
        <f t="shared" si="1"/>
        <v>46053.20000000001</v>
      </c>
      <c r="O256" s="144"/>
    </row>
    <row r="257" spans="1:256" ht="23.25">
      <c r="A257" s="251" t="s">
        <v>269</v>
      </c>
      <c r="B257" s="252" t="s">
        <v>427</v>
      </c>
      <c r="C257" s="378">
        <f aca="true" t="shared" si="36" ref="C257:C261">+E257/$E$256</f>
        <v>0.0799149704714184</v>
      </c>
      <c r="D257" s="254"/>
      <c r="E257" s="257">
        <v>20000</v>
      </c>
      <c r="F257" s="255"/>
      <c r="G257" s="256">
        <f t="shared" si="29"/>
        <v>1</v>
      </c>
      <c r="H257" s="257">
        <f t="shared" si="34"/>
        <v>20000</v>
      </c>
      <c r="I257" s="257">
        <v>20000</v>
      </c>
      <c r="J257" s="384">
        <f aca="true" t="shared" si="37" ref="J257:J261">K257/E257</f>
        <v>0</v>
      </c>
      <c r="K257" s="258">
        <v>0</v>
      </c>
      <c r="M257" s="174">
        <f t="shared" si="1"/>
        <v>0</v>
      </c>
      <c r="O257" s="144"/>
      <c r="FH257" s="304"/>
      <c r="FI257" s="304"/>
      <c r="FJ257" s="304"/>
      <c r="FK257" s="304"/>
      <c r="FL257" s="304"/>
      <c r="FM257" s="304"/>
      <c r="FN257" s="304"/>
      <c r="FO257" s="304"/>
      <c r="FP257" s="304"/>
      <c r="FQ257" s="304"/>
      <c r="FR257" s="304"/>
      <c r="FS257" s="304"/>
      <c r="FT257" s="304"/>
      <c r="FU257" s="304"/>
      <c r="FV257" s="304"/>
      <c r="FW257" s="304"/>
      <c r="FX257" s="304"/>
      <c r="FY257" s="304"/>
      <c r="FZ257" s="304"/>
      <c r="GA257" s="304"/>
      <c r="GB257" s="304"/>
      <c r="GC257" s="304"/>
      <c r="GD257" s="304"/>
      <c r="GE257" s="304"/>
      <c r="GF257" s="304"/>
      <c r="GG257" s="304"/>
      <c r="GH257" s="304"/>
      <c r="GI257" s="304"/>
      <c r="GJ257" s="304"/>
      <c r="GK257" s="304"/>
      <c r="GL257" s="304"/>
      <c r="GM257" s="304"/>
      <c r="GN257" s="304"/>
      <c r="GO257" s="304"/>
      <c r="GP257" s="304"/>
      <c r="GQ257" s="304"/>
      <c r="GR257" s="304"/>
      <c r="GS257" s="304"/>
      <c r="GT257" s="304"/>
      <c r="GU257" s="304"/>
      <c r="GV257" s="304"/>
      <c r="GW257" s="304"/>
      <c r="GX257" s="304"/>
      <c r="GY257" s="304"/>
      <c r="GZ257" s="304"/>
      <c r="HA257" s="304"/>
      <c r="HB257" s="304"/>
      <c r="HC257" s="304"/>
      <c r="HD257" s="304"/>
      <c r="HE257" s="304"/>
      <c r="HF257" s="304"/>
      <c r="HG257" s="304"/>
      <c r="HH257" s="304"/>
      <c r="HI257" s="304"/>
      <c r="HJ257" s="304"/>
      <c r="HK257" s="304"/>
      <c r="HL257" s="304"/>
      <c r="HM257" s="304"/>
      <c r="HN257" s="304"/>
      <c r="HO257" s="304"/>
      <c r="HP257" s="304"/>
      <c r="HQ257" s="304"/>
      <c r="HR257" s="304"/>
      <c r="HS257" s="304"/>
      <c r="HT257" s="304"/>
      <c r="HU257" s="304"/>
      <c r="HV257" s="304"/>
      <c r="HW257" s="304"/>
      <c r="HX257" s="304"/>
      <c r="HY257" s="304"/>
      <c r="HZ257" s="304"/>
      <c r="IA257" s="304"/>
      <c r="IB257" s="304"/>
      <c r="IC257" s="304"/>
      <c r="ID257" s="304"/>
      <c r="IE257" s="304"/>
      <c r="IF257" s="304"/>
      <c r="IG257" s="304"/>
      <c r="IH257" s="304"/>
      <c r="II257" s="304"/>
      <c r="IJ257" s="304"/>
      <c r="IK257" s="304"/>
      <c r="IL257" s="304"/>
      <c r="IM257" s="304"/>
      <c r="IN257" s="304"/>
      <c r="IO257" s="304"/>
      <c r="IP257" s="304"/>
      <c r="IQ257" s="304"/>
      <c r="IR257" s="304"/>
      <c r="IS257" s="304"/>
      <c r="IT257" s="304"/>
      <c r="IU257" s="304"/>
      <c r="IV257" s="304"/>
    </row>
    <row r="258" spans="1:256" ht="23.25">
      <c r="A258" s="251" t="s">
        <v>271</v>
      </c>
      <c r="B258" s="252" t="s">
        <v>428</v>
      </c>
      <c r="C258" s="378">
        <f t="shared" si="36"/>
        <v>0.3196598818856736</v>
      </c>
      <c r="D258" s="254"/>
      <c r="E258" s="257">
        <v>80000</v>
      </c>
      <c r="F258" s="255"/>
      <c r="G258" s="256">
        <f t="shared" si="29"/>
        <v>1</v>
      </c>
      <c r="H258" s="257">
        <f t="shared" si="34"/>
        <v>80000</v>
      </c>
      <c r="I258" s="257">
        <v>80000</v>
      </c>
      <c r="J258" s="384">
        <f t="shared" si="37"/>
        <v>0</v>
      </c>
      <c r="K258" s="258">
        <v>0</v>
      </c>
      <c r="M258" s="174">
        <f t="shared" si="1"/>
        <v>0</v>
      </c>
      <c r="O258" s="144"/>
      <c r="FH258" s="304"/>
      <c r="FI258" s="304"/>
      <c r="FJ258" s="304"/>
      <c r="FK258" s="304"/>
      <c r="FL258" s="304"/>
      <c r="FM258" s="304"/>
      <c r="FN258" s="304"/>
      <c r="FO258" s="304"/>
      <c r="FP258" s="304"/>
      <c r="FQ258" s="304"/>
      <c r="FR258" s="304"/>
      <c r="FS258" s="304"/>
      <c r="FT258" s="304"/>
      <c r="FU258" s="304"/>
      <c r="FV258" s="304"/>
      <c r="FW258" s="304"/>
      <c r="FX258" s="304"/>
      <c r="FY258" s="304"/>
      <c r="FZ258" s="304"/>
      <c r="GA258" s="304"/>
      <c r="GB258" s="304"/>
      <c r="GC258" s="304"/>
      <c r="GD258" s="304"/>
      <c r="GE258" s="304"/>
      <c r="GF258" s="304"/>
      <c r="GG258" s="304"/>
      <c r="GH258" s="304"/>
      <c r="GI258" s="304"/>
      <c r="GJ258" s="304"/>
      <c r="GK258" s="304"/>
      <c r="GL258" s="304"/>
      <c r="GM258" s="304"/>
      <c r="GN258" s="304"/>
      <c r="GO258" s="304"/>
      <c r="GP258" s="304"/>
      <c r="GQ258" s="304"/>
      <c r="GR258" s="304"/>
      <c r="GS258" s="304"/>
      <c r="GT258" s="304"/>
      <c r="GU258" s="304"/>
      <c r="GV258" s="304"/>
      <c r="GW258" s="304"/>
      <c r="GX258" s="304"/>
      <c r="GY258" s="304"/>
      <c r="GZ258" s="304"/>
      <c r="HA258" s="304"/>
      <c r="HB258" s="304"/>
      <c r="HC258" s="304"/>
      <c r="HD258" s="304"/>
      <c r="HE258" s="304"/>
      <c r="HF258" s="304"/>
      <c r="HG258" s="304"/>
      <c r="HH258" s="304"/>
      <c r="HI258" s="304"/>
      <c r="HJ258" s="304"/>
      <c r="HK258" s="304"/>
      <c r="HL258" s="304"/>
      <c r="HM258" s="304"/>
      <c r="HN258" s="304"/>
      <c r="HO258" s="304"/>
      <c r="HP258" s="304"/>
      <c r="HQ258" s="304"/>
      <c r="HR258" s="304"/>
      <c r="HS258" s="304"/>
      <c r="HT258" s="304"/>
      <c r="HU258" s="304"/>
      <c r="HV258" s="304"/>
      <c r="HW258" s="304"/>
      <c r="HX258" s="304"/>
      <c r="HY258" s="304"/>
      <c r="HZ258" s="304"/>
      <c r="IA258" s="304"/>
      <c r="IB258" s="304"/>
      <c r="IC258" s="304"/>
      <c r="ID258" s="304"/>
      <c r="IE258" s="304"/>
      <c r="IF258" s="304"/>
      <c r="IG258" s="304"/>
      <c r="IH258" s="304"/>
      <c r="II258" s="304"/>
      <c r="IJ258" s="304"/>
      <c r="IK258" s="304"/>
      <c r="IL258" s="304"/>
      <c r="IM258" s="304"/>
      <c r="IN258" s="304"/>
      <c r="IO258" s="304"/>
      <c r="IP258" s="304"/>
      <c r="IQ258" s="304"/>
      <c r="IR258" s="304"/>
      <c r="IS258" s="304"/>
      <c r="IT258" s="304"/>
      <c r="IU258" s="304"/>
      <c r="IV258" s="304"/>
    </row>
    <row r="259" spans="1:256" ht="23.25">
      <c r="A259" s="251" t="s">
        <v>429</v>
      </c>
      <c r="B259" s="252" t="s">
        <v>430</v>
      </c>
      <c r="C259" s="378">
        <f t="shared" si="36"/>
        <v>0.5205101771714895</v>
      </c>
      <c r="D259" s="254"/>
      <c r="E259" s="257">
        <v>130266</v>
      </c>
      <c r="F259" s="255"/>
      <c r="G259" s="256">
        <f t="shared" si="29"/>
        <v>1</v>
      </c>
      <c r="H259" s="257">
        <f t="shared" si="34"/>
        <v>130266</v>
      </c>
      <c r="I259" s="257">
        <v>104212.8</v>
      </c>
      <c r="J259" s="384">
        <f t="shared" si="37"/>
        <v>0.2</v>
      </c>
      <c r="K259" s="258">
        <v>26053.2</v>
      </c>
      <c r="M259" s="174">
        <f t="shared" si="1"/>
        <v>26053.199999999997</v>
      </c>
      <c r="O259" s="144"/>
      <c r="FH259" s="304"/>
      <c r="FI259" s="304"/>
      <c r="FJ259" s="304"/>
      <c r="FK259" s="304"/>
      <c r="FL259" s="304"/>
      <c r="FM259" s="304"/>
      <c r="FN259" s="304"/>
      <c r="FO259" s="304"/>
      <c r="FP259" s="304"/>
      <c r="FQ259" s="304"/>
      <c r="FR259" s="304"/>
      <c r="FS259" s="304"/>
      <c r="FT259" s="304"/>
      <c r="FU259" s="304"/>
      <c r="FV259" s="304"/>
      <c r="FW259" s="304"/>
      <c r="FX259" s="304"/>
      <c r="FY259" s="304"/>
      <c r="FZ259" s="304"/>
      <c r="GA259" s="304"/>
      <c r="GB259" s="304"/>
      <c r="GC259" s="304"/>
      <c r="GD259" s="304"/>
      <c r="GE259" s="304"/>
      <c r="GF259" s="304"/>
      <c r="GG259" s="304"/>
      <c r="GH259" s="304"/>
      <c r="GI259" s="304"/>
      <c r="GJ259" s="304"/>
      <c r="GK259" s="304"/>
      <c r="GL259" s="304"/>
      <c r="GM259" s="304"/>
      <c r="GN259" s="304"/>
      <c r="GO259" s="304"/>
      <c r="GP259" s="304"/>
      <c r="GQ259" s="304"/>
      <c r="GR259" s="304"/>
      <c r="GS259" s="304"/>
      <c r="GT259" s="304"/>
      <c r="GU259" s="304"/>
      <c r="GV259" s="304"/>
      <c r="GW259" s="304"/>
      <c r="GX259" s="304"/>
      <c r="GY259" s="304"/>
      <c r="GZ259" s="304"/>
      <c r="HA259" s="304"/>
      <c r="HB259" s="304"/>
      <c r="HC259" s="304"/>
      <c r="HD259" s="304"/>
      <c r="HE259" s="304"/>
      <c r="HF259" s="304"/>
      <c r="HG259" s="304"/>
      <c r="HH259" s="304"/>
      <c r="HI259" s="304"/>
      <c r="HJ259" s="304"/>
      <c r="HK259" s="304"/>
      <c r="HL259" s="304"/>
      <c r="HM259" s="304"/>
      <c r="HN259" s="304"/>
      <c r="HO259" s="304"/>
      <c r="HP259" s="304"/>
      <c r="HQ259" s="304"/>
      <c r="HR259" s="304"/>
      <c r="HS259" s="304"/>
      <c r="HT259" s="304"/>
      <c r="HU259" s="304"/>
      <c r="HV259" s="304"/>
      <c r="HW259" s="304"/>
      <c r="HX259" s="304"/>
      <c r="HY259" s="304"/>
      <c r="HZ259" s="304"/>
      <c r="IA259" s="304"/>
      <c r="IB259" s="304"/>
      <c r="IC259" s="304"/>
      <c r="ID259" s="304"/>
      <c r="IE259" s="304"/>
      <c r="IF259" s="304"/>
      <c r="IG259" s="304"/>
      <c r="IH259" s="304"/>
      <c r="II259" s="304"/>
      <c r="IJ259" s="304"/>
      <c r="IK259" s="304"/>
      <c r="IL259" s="304"/>
      <c r="IM259" s="304"/>
      <c r="IN259" s="304"/>
      <c r="IO259" s="304"/>
      <c r="IP259" s="304"/>
      <c r="IQ259" s="304"/>
      <c r="IR259" s="304"/>
      <c r="IS259" s="304"/>
      <c r="IT259" s="304"/>
      <c r="IU259" s="304"/>
      <c r="IV259" s="304"/>
    </row>
    <row r="260" spans="1:256" ht="23.25">
      <c r="A260" s="251" t="s">
        <v>431</v>
      </c>
      <c r="B260" s="252" t="s">
        <v>432</v>
      </c>
      <c r="C260" s="378">
        <f t="shared" si="36"/>
        <v>0.05993622785356381</v>
      </c>
      <c r="D260" s="254"/>
      <c r="E260" s="257">
        <v>15000</v>
      </c>
      <c r="F260" s="255"/>
      <c r="G260" s="256">
        <f t="shared" si="29"/>
        <v>1</v>
      </c>
      <c r="H260" s="257">
        <f t="shared" si="34"/>
        <v>15000</v>
      </c>
      <c r="I260" s="257">
        <v>0</v>
      </c>
      <c r="J260" s="384">
        <f t="shared" si="37"/>
        <v>1</v>
      </c>
      <c r="K260" s="258">
        <v>15000</v>
      </c>
      <c r="M260" s="174">
        <f t="shared" si="1"/>
        <v>15000</v>
      </c>
      <c r="O260" s="144"/>
      <c r="FH260" s="304"/>
      <c r="FI260" s="304"/>
      <c r="FJ260" s="304"/>
      <c r="FK260" s="304"/>
      <c r="FL260" s="304"/>
      <c r="FM260" s="304"/>
      <c r="FN260" s="304"/>
      <c r="FO260" s="304"/>
      <c r="FP260" s="304"/>
      <c r="FQ260" s="304"/>
      <c r="FR260" s="304"/>
      <c r="FS260" s="304"/>
      <c r="FT260" s="304"/>
      <c r="FU260" s="304"/>
      <c r="FV260" s="304"/>
      <c r="FW260" s="304"/>
      <c r="FX260" s="304"/>
      <c r="FY260" s="304"/>
      <c r="FZ260" s="304"/>
      <c r="GA260" s="304"/>
      <c r="GB260" s="304"/>
      <c r="GC260" s="304"/>
      <c r="GD260" s="304"/>
      <c r="GE260" s="304"/>
      <c r="GF260" s="304"/>
      <c r="GG260" s="304"/>
      <c r="GH260" s="304"/>
      <c r="GI260" s="304"/>
      <c r="GJ260" s="304"/>
      <c r="GK260" s="304"/>
      <c r="GL260" s="304"/>
      <c r="GM260" s="304"/>
      <c r="GN260" s="304"/>
      <c r="GO260" s="304"/>
      <c r="GP260" s="304"/>
      <c r="GQ260" s="304"/>
      <c r="GR260" s="304"/>
      <c r="GS260" s="304"/>
      <c r="GT260" s="304"/>
      <c r="GU260" s="304"/>
      <c r="GV260" s="304"/>
      <c r="GW260" s="304"/>
      <c r="GX260" s="304"/>
      <c r="GY260" s="304"/>
      <c r="GZ260" s="304"/>
      <c r="HA260" s="304"/>
      <c r="HB260" s="304"/>
      <c r="HC260" s="304"/>
      <c r="HD260" s="304"/>
      <c r="HE260" s="304"/>
      <c r="HF260" s="304"/>
      <c r="HG260" s="304"/>
      <c r="HH260" s="304"/>
      <c r="HI260" s="304"/>
      <c r="HJ260" s="304"/>
      <c r="HK260" s="304"/>
      <c r="HL260" s="304"/>
      <c r="HM260" s="304"/>
      <c r="HN260" s="304"/>
      <c r="HO260" s="304"/>
      <c r="HP260" s="304"/>
      <c r="HQ260" s="304"/>
      <c r="HR260" s="304"/>
      <c r="HS260" s="304"/>
      <c r="HT260" s="304"/>
      <c r="HU260" s="304"/>
      <c r="HV260" s="304"/>
      <c r="HW260" s="304"/>
      <c r="HX260" s="304"/>
      <c r="HY260" s="304"/>
      <c r="HZ260" s="304"/>
      <c r="IA260" s="304"/>
      <c r="IB260" s="304"/>
      <c r="IC260" s="304"/>
      <c r="ID260" s="304"/>
      <c r="IE260" s="304"/>
      <c r="IF260" s="304"/>
      <c r="IG260" s="304"/>
      <c r="IH260" s="304"/>
      <c r="II260" s="304"/>
      <c r="IJ260" s="304"/>
      <c r="IK260" s="304"/>
      <c r="IL260" s="304"/>
      <c r="IM260" s="304"/>
      <c r="IN260" s="304"/>
      <c r="IO260" s="304"/>
      <c r="IP260" s="304"/>
      <c r="IQ260" s="304"/>
      <c r="IR260" s="304"/>
      <c r="IS260" s="304"/>
      <c r="IT260" s="304"/>
      <c r="IU260" s="304"/>
      <c r="IV260" s="304"/>
    </row>
    <row r="261" spans="1:256" ht="23.25">
      <c r="A261" s="251" t="s">
        <v>433</v>
      </c>
      <c r="B261" s="252" t="s">
        <v>434</v>
      </c>
      <c r="C261" s="378">
        <f t="shared" si="36"/>
        <v>0.0199787426178546</v>
      </c>
      <c r="D261" s="254"/>
      <c r="E261" s="257">
        <v>5000</v>
      </c>
      <c r="F261" s="255"/>
      <c r="G261" s="256">
        <f t="shared" si="29"/>
        <v>1</v>
      </c>
      <c r="H261" s="257">
        <f t="shared" si="34"/>
        <v>5000</v>
      </c>
      <c r="I261" s="257">
        <v>0</v>
      </c>
      <c r="J261" s="384">
        <f t="shared" si="37"/>
        <v>1</v>
      </c>
      <c r="K261" s="258">
        <v>5000</v>
      </c>
      <c r="M261" s="174">
        <f t="shared" si="1"/>
        <v>5000</v>
      </c>
      <c r="O261" s="144"/>
      <c r="FH261" s="304"/>
      <c r="FI261" s="304"/>
      <c r="FJ261" s="304"/>
      <c r="FK261" s="304"/>
      <c r="FL261" s="304"/>
      <c r="FM261" s="304"/>
      <c r="FN261" s="304"/>
      <c r="FO261" s="304"/>
      <c r="FP261" s="304"/>
      <c r="FQ261" s="304"/>
      <c r="FR261" s="304"/>
      <c r="FS261" s="304"/>
      <c r="FT261" s="304"/>
      <c r="FU261" s="304"/>
      <c r="FV261" s="304"/>
      <c r="FW261" s="304"/>
      <c r="FX261" s="304"/>
      <c r="FY261" s="304"/>
      <c r="FZ261" s="304"/>
      <c r="GA261" s="304"/>
      <c r="GB261" s="304"/>
      <c r="GC261" s="304"/>
      <c r="GD261" s="304"/>
      <c r="GE261" s="304"/>
      <c r="GF261" s="304"/>
      <c r="GG261" s="304"/>
      <c r="GH261" s="304"/>
      <c r="GI261" s="304"/>
      <c r="GJ261" s="304"/>
      <c r="GK261" s="304"/>
      <c r="GL261" s="304"/>
      <c r="GM261" s="304"/>
      <c r="GN261" s="304"/>
      <c r="GO261" s="304"/>
      <c r="GP261" s="304"/>
      <c r="GQ261" s="304"/>
      <c r="GR261" s="304"/>
      <c r="GS261" s="304"/>
      <c r="GT261" s="304"/>
      <c r="GU261" s="304"/>
      <c r="GV261" s="304"/>
      <c r="GW261" s="304"/>
      <c r="GX261" s="304"/>
      <c r="GY261" s="304"/>
      <c r="GZ261" s="304"/>
      <c r="HA261" s="304"/>
      <c r="HB261" s="304"/>
      <c r="HC261" s="304"/>
      <c r="HD261" s="304"/>
      <c r="HE261" s="304"/>
      <c r="HF261" s="304"/>
      <c r="HG261" s="304"/>
      <c r="HH261" s="304"/>
      <c r="HI261" s="304"/>
      <c r="HJ261" s="304"/>
      <c r="HK261" s="304"/>
      <c r="HL261" s="304"/>
      <c r="HM261" s="304"/>
      <c r="HN261" s="304"/>
      <c r="HO261" s="304"/>
      <c r="HP261" s="304"/>
      <c r="HQ261" s="304"/>
      <c r="HR261" s="304"/>
      <c r="HS261" s="304"/>
      <c r="HT261" s="304"/>
      <c r="HU261" s="304"/>
      <c r="HV261" s="304"/>
      <c r="HW261" s="304"/>
      <c r="HX261" s="304"/>
      <c r="HY261" s="304"/>
      <c r="HZ261" s="304"/>
      <c r="IA261" s="304"/>
      <c r="IB261" s="304"/>
      <c r="IC261" s="304"/>
      <c r="ID261" s="304"/>
      <c r="IE261" s="304"/>
      <c r="IF261" s="304"/>
      <c r="IG261" s="304"/>
      <c r="IH261" s="304"/>
      <c r="II261" s="304"/>
      <c r="IJ261" s="304"/>
      <c r="IK261" s="304"/>
      <c r="IL261" s="304"/>
      <c r="IM261" s="304"/>
      <c r="IN261" s="304"/>
      <c r="IO261" s="304"/>
      <c r="IP261" s="304"/>
      <c r="IQ261" s="304"/>
      <c r="IR261" s="304"/>
      <c r="IS261" s="304"/>
      <c r="IT261" s="304"/>
      <c r="IU261" s="304"/>
      <c r="IV261" s="304"/>
    </row>
    <row r="262" spans="1:15" ht="43.5">
      <c r="A262" s="385">
        <v>5</v>
      </c>
      <c r="B262" s="386" t="s">
        <v>435</v>
      </c>
      <c r="C262" s="387">
        <v>0.1</v>
      </c>
      <c r="D262" s="388">
        <v>417110</v>
      </c>
      <c r="E262" s="389">
        <f>$E$167*C262</f>
        <v>417110</v>
      </c>
      <c r="F262" s="390">
        <f>SUM(E263:E278)</f>
        <v>538220</v>
      </c>
      <c r="G262" s="391">
        <f t="shared" si="29"/>
        <v>1</v>
      </c>
      <c r="H262" s="389">
        <f>+H263+H264+H265+H266+H270+H271+H272+H273+H277+H278</f>
        <v>417110</v>
      </c>
      <c r="I262" s="389">
        <f>+I263+I264+I265+I266+I270+I271+I272+I273+I277+I278</f>
        <v>417110</v>
      </c>
      <c r="J262" s="391">
        <f aca="true" t="shared" si="38" ref="J262:J509">+K262/E262</f>
        <v>0</v>
      </c>
      <c r="K262" s="392">
        <f>SUM(K263,K264,K265,K266,K270:K273,K277:K278)</f>
        <v>0</v>
      </c>
      <c r="M262" s="174">
        <f t="shared" si="1"/>
        <v>0</v>
      </c>
      <c r="O262" s="144"/>
    </row>
    <row r="263" spans="1:256" ht="23.25">
      <c r="A263" s="251" t="s">
        <v>436</v>
      </c>
      <c r="B263" s="252" t="s">
        <v>407</v>
      </c>
      <c r="C263" s="378">
        <f aca="true" t="shared" si="39" ref="C263:C266">+E263/$E$262</f>
        <v>0.023974491141425525</v>
      </c>
      <c r="D263" s="254">
        <v>50053</v>
      </c>
      <c r="E263" s="257">
        <v>10000</v>
      </c>
      <c r="F263" s="255"/>
      <c r="G263" s="256">
        <f t="shared" si="29"/>
        <v>1</v>
      </c>
      <c r="H263" s="257">
        <f aca="true" t="shared" si="40" ref="H263:H265">+I263+K263</f>
        <v>10000</v>
      </c>
      <c r="I263" s="257">
        <v>10000</v>
      </c>
      <c r="J263" s="256">
        <f t="shared" si="38"/>
        <v>0</v>
      </c>
      <c r="K263" s="258">
        <v>0</v>
      </c>
      <c r="M263" s="174">
        <f t="shared" si="1"/>
        <v>0</v>
      </c>
      <c r="O263" s="144"/>
      <c r="FH263" s="304"/>
      <c r="FI263" s="304"/>
      <c r="FJ263" s="304"/>
      <c r="FK263" s="304"/>
      <c r="FL263" s="304"/>
      <c r="FM263" s="304"/>
      <c r="FN263" s="304"/>
      <c r="FO263" s="304"/>
      <c r="FP263" s="304"/>
      <c r="FQ263" s="304"/>
      <c r="FR263" s="304"/>
      <c r="FS263" s="304"/>
      <c r="FT263" s="304"/>
      <c r="FU263" s="304"/>
      <c r="FV263" s="304"/>
      <c r="FW263" s="304"/>
      <c r="FX263" s="304"/>
      <c r="FY263" s="304"/>
      <c r="FZ263" s="304"/>
      <c r="GA263" s="304"/>
      <c r="GB263" s="304"/>
      <c r="GC263" s="304"/>
      <c r="GD263" s="304"/>
      <c r="GE263" s="304"/>
      <c r="GF263" s="304"/>
      <c r="GG263" s="304"/>
      <c r="GH263" s="304"/>
      <c r="GI263" s="304"/>
      <c r="GJ263" s="304"/>
      <c r="GK263" s="304"/>
      <c r="GL263" s="304"/>
      <c r="GM263" s="304"/>
      <c r="GN263" s="304"/>
      <c r="GO263" s="304"/>
      <c r="GP263" s="304"/>
      <c r="GQ263" s="304"/>
      <c r="GR263" s="304"/>
      <c r="GS263" s="304"/>
      <c r="GT263" s="304"/>
      <c r="GU263" s="304"/>
      <c r="GV263" s="304"/>
      <c r="GW263" s="304"/>
      <c r="GX263" s="304"/>
      <c r="GY263" s="304"/>
      <c r="GZ263" s="304"/>
      <c r="HA263" s="304"/>
      <c r="HB263" s="304"/>
      <c r="HC263" s="304"/>
      <c r="HD263" s="304"/>
      <c r="HE263" s="304"/>
      <c r="HF263" s="304"/>
      <c r="HG263" s="304"/>
      <c r="HH263" s="304"/>
      <c r="HI263" s="304"/>
      <c r="HJ263" s="304"/>
      <c r="HK263" s="304"/>
      <c r="HL263" s="304"/>
      <c r="HM263" s="304"/>
      <c r="HN263" s="304"/>
      <c r="HO263" s="304"/>
      <c r="HP263" s="304"/>
      <c r="HQ263" s="304"/>
      <c r="HR263" s="304"/>
      <c r="HS263" s="304"/>
      <c r="HT263" s="304"/>
      <c r="HU263" s="304"/>
      <c r="HV263" s="304"/>
      <c r="HW263" s="304"/>
      <c r="HX263" s="304"/>
      <c r="HY263" s="304"/>
      <c r="HZ263" s="304"/>
      <c r="IA263" s="304"/>
      <c r="IB263" s="304"/>
      <c r="IC263" s="304"/>
      <c r="ID263" s="304"/>
      <c r="IE263" s="304"/>
      <c r="IF263" s="304"/>
      <c r="IG263" s="304"/>
      <c r="IH263" s="304"/>
      <c r="II263" s="304"/>
      <c r="IJ263" s="304"/>
      <c r="IK263" s="304"/>
      <c r="IL263" s="304"/>
      <c r="IM263" s="304"/>
      <c r="IN263" s="304"/>
      <c r="IO263" s="304"/>
      <c r="IP263" s="304"/>
      <c r="IQ263" s="304"/>
      <c r="IR263" s="304"/>
      <c r="IS263" s="304"/>
      <c r="IT263" s="304"/>
      <c r="IU263" s="304"/>
      <c r="IV263" s="304"/>
    </row>
    <row r="264" spans="1:256" ht="23.25">
      <c r="A264" s="251" t="s">
        <v>437</v>
      </c>
      <c r="B264" s="252" t="s">
        <v>438</v>
      </c>
      <c r="C264" s="378">
        <f t="shared" si="39"/>
        <v>0.07192347342427657</v>
      </c>
      <c r="D264" s="254"/>
      <c r="E264" s="257">
        <v>30000</v>
      </c>
      <c r="F264" s="255"/>
      <c r="G264" s="256">
        <f t="shared" si="29"/>
        <v>1</v>
      </c>
      <c r="H264" s="257">
        <f t="shared" si="40"/>
        <v>30000</v>
      </c>
      <c r="I264" s="257">
        <v>30000</v>
      </c>
      <c r="J264" s="256">
        <f t="shared" si="38"/>
        <v>0</v>
      </c>
      <c r="K264" s="258">
        <v>0</v>
      </c>
      <c r="M264" s="174">
        <f t="shared" si="1"/>
        <v>0</v>
      </c>
      <c r="O264" s="144"/>
      <c r="FH264" s="304"/>
      <c r="FI264" s="304"/>
      <c r="FJ264" s="304"/>
      <c r="FK264" s="304"/>
      <c r="FL264" s="304"/>
      <c r="FM264" s="304"/>
      <c r="FN264" s="304"/>
      <c r="FO264" s="304"/>
      <c r="FP264" s="304"/>
      <c r="FQ264" s="304"/>
      <c r="FR264" s="304"/>
      <c r="FS264" s="304"/>
      <c r="FT264" s="304"/>
      <c r="FU264" s="304"/>
      <c r="FV264" s="304"/>
      <c r="FW264" s="304"/>
      <c r="FX264" s="304"/>
      <c r="FY264" s="304"/>
      <c r="FZ264" s="304"/>
      <c r="GA264" s="304"/>
      <c r="GB264" s="304"/>
      <c r="GC264" s="304"/>
      <c r="GD264" s="304"/>
      <c r="GE264" s="304"/>
      <c r="GF264" s="304"/>
      <c r="GG264" s="304"/>
      <c r="GH264" s="304"/>
      <c r="GI264" s="304"/>
      <c r="GJ264" s="304"/>
      <c r="GK264" s="304"/>
      <c r="GL264" s="304"/>
      <c r="GM264" s="304"/>
      <c r="GN264" s="304"/>
      <c r="GO264" s="304"/>
      <c r="GP264" s="304"/>
      <c r="GQ264" s="304"/>
      <c r="GR264" s="304"/>
      <c r="GS264" s="304"/>
      <c r="GT264" s="304"/>
      <c r="GU264" s="304"/>
      <c r="GV264" s="304"/>
      <c r="GW264" s="304"/>
      <c r="GX264" s="304"/>
      <c r="GY264" s="304"/>
      <c r="GZ264" s="304"/>
      <c r="HA264" s="304"/>
      <c r="HB264" s="304"/>
      <c r="HC264" s="304"/>
      <c r="HD264" s="304"/>
      <c r="HE264" s="304"/>
      <c r="HF264" s="304"/>
      <c r="HG264" s="304"/>
      <c r="HH264" s="304"/>
      <c r="HI264" s="304"/>
      <c r="HJ264" s="304"/>
      <c r="HK264" s="304"/>
      <c r="HL264" s="304"/>
      <c r="HM264" s="304"/>
      <c r="HN264" s="304"/>
      <c r="HO264" s="304"/>
      <c r="HP264" s="304"/>
      <c r="HQ264" s="304"/>
      <c r="HR264" s="304"/>
      <c r="HS264" s="304"/>
      <c r="HT264" s="304"/>
      <c r="HU264" s="304"/>
      <c r="HV264" s="304"/>
      <c r="HW264" s="304"/>
      <c r="HX264" s="304"/>
      <c r="HY264" s="304"/>
      <c r="HZ264" s="304"/>
      <c r="IA264" s="304"/>
      <c r="IB264" s="304"/>
      <c r="IC264" s="304"/>
      <c r="ID264" s="304"/>
      <c r="IE264" s="304"/>
      <c r="IF264" s="304"/>
      <c r="IG264" s="304"/>
      <c r="IH264" s="304"/>
      <c r="II264" s="304"/>
      <c r="IJ264" s="304"/>
      <c r="IK264" s="304"/>
      <c r="IL264" s="304"/>
      <c r="IM264" s="304"/>
      <c r="IN264" s="304"/>
      <c r="IO264" s="304"/>
      <c r="IP264" s="304"/>
      <c r="IQ264" s="304"/>
      <c r="IR264" s="304"/>
      <c r="IS264" s="304"/>
      <c r="IT264" s="304"/>
      <c r="IU264" s="304"/>
      <c r="IV264" s="304"/>
    </row>
    <row r="265" spans="1:256" ht="23.25">
      <c r="A265" s="251" t="s">
        <v>439</v>
      </c>
      <c r="B265" s="252" t="s">
        <v>440</v>
      </c>
      <c r="C265" s="378">
        <f t="shared" si="39"/>
        <v>0.04794898228285105</v>
      </c>
      <c r="D265" s="254"/>
      <c r="E265" s="257">
        <v>20000</v>
      </c>
      <c r="F265" s="255"/>
      <c r="G265" s="256">
        <f t="shared" si="29"/>
        <v>1</v>
      </c>
      <c r="H265" s="257">
        <f t="shared" si="40"/>
        <v>20000</v>
      </c>
      <c r="I265" s="257">
        <v>20000</v>
      </c>
      <c r="J265" s="256">
        <f t="shared" si="38"/>
        <v>0</v>
      </c>
      <c r="K265" s="258">
        <v>0</v>
      </c>
      <c r="M265" s="174">
        <f t="shared" si="1"/>
        <v>0</v>
      </c>
      <c r="O265" s="144"/>
      <c r="FH265" s="304"/>
      <c r="FI265" s="304"/>
      <c r="FJ265" s="304"/>
      <c r="FK265" s="304"/>
      <c r="FL265" s="304"/>
      <c r="FM265" s="304"/>
      <c r="FN265" s="304"/>
      <c r="FO265" s="304"/>
      <c r="FP265" s="304"/>
      <c r="FQ265" s="304"/>
      <c r="FR265" s="304"/>
      <c r="FS265" s="304"/>
      <c r="FT265" s="304"/>
      <c r="FU265" s="304"/>
      <c r="FV265" s="304"/>
      <c r="FW265" s="304"/>
      <c r="FX265" s="304"/>
      <c r="FY265" s="304"/>
      <c r="FZ265" s="304"/>
      <c r="GA265" s="304"/>
      <c r="GB265" s="304"/>
      <c r="GC265" s="304"/>
      <c r="GD265" s="304"/>
      <c r="GE265" s="304"/>
      <c r="GF265" s="304"/>
      <c r="GG265" s="304"/>
      <c r="GH265" s="304"/>
      <c r="GI265" s="304"/>
      <c r="GJ265" s="304"/>
      <c r="GK265" s="304"/>
      <c r="GL265" s="304"/>
      <c r="GM265" s="304"/>
      <c r="GN265" s="304"/>
      <c r="GO265" s="304"/>
      <c r="GP265" s="304"/>
      <c r="GQ265" s="304"/>
      <c r="GR265" s="304"/>
      <c r="GS265" s="304"/>
      <c r="GT265" s="304"/>
      <c r="GU265" s="304"/>
      <c r="GV265" s="304"/>
      <c r="GW265" s="304"/>
      <c r="GX265" s="304"/>
      <c r="GY265" s="304"/>
      <c r="GZ265" s="304"/>
      <c r="HA265" s="304"/>
      <c r="HB265" s="304"/>
      <c r="HC265" s="304"/>
      <c r="HD265" s="304"/>
      <c r="HE265" s="304"/>
      <c r="HF265" s="304"/>
      <c r="HG265" s="304"/>
      <c r="HH265" s="304"/>
      <c r="HI265" s="304"/>
      <c r="HJ265" s="304"/>
      <c r="HK265" s="304"/>
      <c r="HL265" s="304"/>
      <c r="HM265" s="304"/>
      <c r="HN265" s="304"/>
      <c r="HO265" s="304"/>
      <c r="HP265" s="304"/>
      <c r="HQ265" s="304"/>
      <c r="HR265" s="304"/>
      <c r="HS265" s="304"/>
      <c r="HT265" s="304"/>
      <c r="HU265" s="304"/>
      <c r="HV265" s="304"/>
      <c r="HW265" s="304"/>
      <c r="HX265" s="304"/>
      <c r="HY265" s="304"/>
      <c r="HZ265" s="304"/>
      <c r="IA265" s="304"/>
      <c r="IB265" s="304"/>
      <c r="IC265" s="304"/>
      <c r="ID265" s="304"/>
      <c r="IE265" s="304"/>
      <c r="IF265" s="304"/>
      <c r="IG265" s="304"/>
      <c r="IH265" s="304"/>
      <c r="II265" s="304"/>
      <c r="IJ265" s="304"/>
      <c r="IK265" s="304"/>
      <c r="IL265" s="304"/>
      <c r="IM265" s="304"/>
      <c r="IN265" s="304"/>
      <c r="IO265" s="304"/>
      <c r="IP265" s="304"/>
      <c r="IQ265" s="304"/>
      <c r="IR265" s="304"/>
      <c r="IS265" s="304"/>
      <c r="IT265" s="304"/>
      <c r="IU265" s="304"/>
      <c r="IV265" s="304"/>
    </row>
    <row r="266" spans="1:256" ht="23.25">
      <c r="A266" s="251" t="s">
        <v>441</v>
      </c>
      <c r="B266" s="252" t="s">
        <v>442</v>
      </c>
      <c r="C266" s="378">
        <f t="shared" si="39"/>
        <v>0.08870561722327444</v>
      </c>
      <c r="D266" s="254"/>
      <c r="E266" s="257">
        <f>+E267+E268+E269</f>
        <v>37000</v>
      </c>
      <c r="F266" s="255"/>
      <c r="G266" s="256">
        <f t="shared" si="29"/>
        <v>1</v>
      </c>
      <c r="H266" s="257">
        <f>+H267+H268+H269</f>
        <v>37000</v>
      </c>
      <c r="I266" s="257">
        <f>+I267+I268+I269</f>
        <v>37000</v>
      </c>
      <c r="J266" s="256">
        <f t="shared" si="38"/>
        <v>0</v>
      </c>
      <c r="K266" s="258">
        <f>SUM(K267:K269)</f>
        <v>0</v>
      </c>
      <c r="M266" s="174">
        <f t="shared" si="1"/>
        <v>0</v>
      </c>
      <c r="O266" s="144"/>
      <c r="FH266" s="304"/>
      <c r="FI266" s="304"/>
      <c r="FJ266" s="304"/>
      <c r="FK266" s="304"/>
      <c r="FL266" s="304"/>
      <c r="FM266" s="304"/>
      <c r="FN266" s="304"/>
      <c r="FO266" s="304"/>
      <c r="FP266" s="304"/>
      <c r="FQ266" s="304"/>
      <c r="FR266" s="304"/>
      <c r="FS266" s="304"/>
      <c r="FT266" s="304"/>
      <c r="FU266" s="304"/>
      <c r="FV266" s="304"/>
      <c r="FW266" s="304"/>
      <c r="FX266" s="304"/>
      <c r="FY266" s="304"/>
      <c r="FZ266" s="304"/>
      <c r="GA266" s="304"/>
      <c r="GB266" s="304"/>
      <c r="GC266" s="304"/>
      <c r="GD266" s="304"/>
      <c r="GE266" s="304"/>
      <c r="GF266" s="304"/>
      <c r="GG266" s="304"/>
      <c r="GH266" s="304"/>
      <c r="GI266" s="304"/>
      <c r="GJ266" s="304"/>
      <c r="GK266" s="304"/>
      <c r="GL266" s="304"/>
      <c r="GM266" s="304"/>
      <c r="GN266" s="304"/>
      <c r="GO266" s="304"/>
      <c r="GP266" s="304"/>
      <c r="GQ266" s="304"/>
      <c r="GR266" s="304"/>
      <c r="GS266" s="304"/>
      <c r="GT266" s="304"/>
      <c r="GU266" s="304"/>
      <c r="GV266" s="304"/>
      <c r="GW266" s="304"/>
      <c r="GX266" s="304"/>
      <c r="GY266" s="304"/>
      <c r="GZ266" s="304"/>
      <c r="HA266" s="304"/>
      <c r="HB266" s="304"/>
      <c r="HC266" s="304"/>
      <c r="HD266" s="304"/>
      <c r="HE266" s="304"/>
      <c r="HF266" s="304"/>
      <c r="HG266" s="304"/>
      <c r="HH266" s="304"/>
      <c r="HI266" s="304"/>
      <c r="HJ266" s="304"/>
      <c r="HK266" s="304"/>
      <c r="HL266" s="304"/>
      <c r="HM266" s="304"/>
      <c r="HN266" s="304"/>
      <c r="HO266" s="304"/>
      <c r="HP266" s="304"/>
      <c r="HQ266" s="304"/>
      <c r="HR266" s="304"/>
      <c r="HS266" s="304"/>
      <c r="HT266" s="304"/>
      <c r="HU266" s="304"/>
      <c r="HV266" s="304"/>
      <c r="HW266" s="304"/>
      <c r="HX266" s="304"/>
      <c r="HY266" s="304"/>
      <c r="HZ266" s="304"/>
      <c r="IA266" s="304"/>
      <c r="IB266" s="304"/>
      <c r="IC266" s="304"/>
      <c r="ID266" s="304"/>
      <c r="IE266" s="304"/>
      <c r="IF266" s="304"/>
      <c r="IG266" s="304"/>
      <c r="IH266" s="304"/>
      <c r="II266" s="304"/>
      <c r="IJ266" s="304"/>
      <c r="IK266" s="304"/>
      <c r="IL266" s="304"/>
      <c r="IM266" s="304"/>
      <c r="IN266" s="304"/>
      <c r="IO266" s="304"/>
      <c r="IP266" s="304"/>
      <c r="IQ266" s="304"/>
      <c r="IR266" s="304"/>
      <c r="IS266" s="304"/>
      <c r="IT266" s="304"/>
      <c r="IU266" s="304"/>
      <c r="IV266" s="304"/>
    </row>
    <row r="267" spans="1:256" ht="23.25">
      <c r="A267" s="309" t="s">
        <v>443</v>
      </c>
      <c r="B267" s="294" t="s">
        <v>133</v>
      </c>
      <c r="C267" s="295">
        <f aca="true" t="shared" si="41" ref="C267:C269">+E267/$E$266</f>
        <v>0.21621621621621623</v>
      </c>
      <c r="D267" s="310"/>
      <c r="E267" s="299">
        <v>8000</v>
      </c>
      <c r="F267" s="311"/>
      <c r="G267" s="298">
        <f t="shared" si="29"/>
        <v>1</v>
      </c>
      <c r="H267" s="299">
        <f aca="true" t="shared" si="42" ref="H267:H286">+I267+K267</f>
        <v>8000</v>
      </c>
      <c r="I267" s="299">
        <v>8000</v>
      </c>
      <c r="J267" s="298">
        <f t="shared" si="38"/>
        <v>0</v>
      </c>
      <c r="K267" s="300">
        <v>0</v>
      </c>
      <c r="M267" s="174">
        <f t="shared" si="1"/>
        <v>0</v>
      </c>
      <c r="O267" s="144"/>
      <c r="FH267" s="359"/>
      <c r="FI267" s="359"/>
      <c r="FJ267" s="359"/>
      <c r="FK267" s="359"/>
      <c r="FL267" s="359"/>
      <c r="FM267" s="359"/>
      <c r="FN267" s="359"/>
      <c r="FO267" s="359"/>
      <c r="FP267" s="359"/>
      <c r="FQ267" s="359"/>
      <c r="FR267" s="359"/>
      <c r="FS267" s="359"/>
      <c r="FT267" s="359"/>
      <c r="FU267" s="359"/>
      <c r="FV267" s="359"/>
      <c r="FW267" s="359"/>
      <c r="FX267" s="359"/>
      <c r="FY267" s="359"/>
      <c r="FZ267" s="359"/>
      <c r="GA267" s="359"/>
      <c r="GB267" s="359"/>
      <c r="GC267" s="359"/>
      <c r="GD267" s="359"/>
      <c r="GE267" s="359"/>
      <c r="GF267" s="359"/>
      <c r="GG267" s="359"/>
      <c r="GH267" s="359"/>
      <c r="GI267" s="359"/>
      <c r="GJ267" s="359"/>
      <c r="GK267" s="359"/>
      <c r="GL267" s="359"/>
      <c r="GM267" s="359"/>
      <c r="GN267" s="359"/>
      <c r="GO267" s="359"/>
      <c r="GP267" s="359"/>
      <c r="GQ267" s="359"/>
      <c r="GR267" s="359"/>
      <c r="GS267" s="359"/>
      <c r="GT267" s="359"/>
      <c r="GU267" s="359"/>
      <c r="GV267" s="359"/>
      <c r="GW267" s="359"/>
      <c r="GX267" s="359"/>
      <c r="GY267" s="359"/>
      <c r="GZ267" s="359"/>
      <c r="HA267" s="359"/>
      <c r="HB267" s="359"/>
      <c r="HC267" s="359"/>
      <c r="HD267" s="359"/>
      <c r="HE267" s="359"/>
      <c r="HF267" s="359"/>
      <c r="HG267" s="359"/>
      <c r="HH267" s="359"/>
      <c r="HI267" s="359"/>
      <c r="HJ267" s="359"/>
      <c r="HK267" s="359"/>
      <c r="HL267" s="359"/>
      <c r="HM267" s="359"/>
      <c r="HN267" s="359"/>
      <c r="HO267" s="359"/>
      <c r="HP267" s="359"/>
      <c r="HQ267" s="359"/>
      <c r="HR267" s="359"/>
      <c r="HS267" s="359"/>
      <c r="HT267" s="359"/>
      <c r="HU267" s="359"/>
      <c r="HV267" s="359"/>
      <c r="HW267" s="359"/>
      <c r="HX267" s="359"/>
      <c r="HY267" s="359"/>
      <c r="HZ267" s="359"/>
      <c r="IA267" s="359"/>
      <c r="IB267" s="359"/>
      <c r="IC267" s="359"/>
      <c r="ID267" s="359"/>
      <c r="IE267" s="359"/>
      <c r="IF267" s="359"/>
      <c r="IG267" s="359"/>
      <c r="IH267" s="359"/>
      <c r="II267" s="359"/>
      <c r="IJ267" s="359"/>
      <c r="IK267" s="359"/>
      <c r="IL267" s="359"/>
      <c r="IM267" s="359"/>
      <c r="IN267" s="359"/>
      <c r="IO267" s="359"/>
      <c r="IP267" s="359"/>
      <c r="IQ267" s="359"/>
      <c r="IR267" s="359"/>
      <c r="IS267" s="359"/>
      <c r="IT267" s="359"/>
      <c r="IU267" s="359"/>
      <c r="IV267" s="359"/>
    </row>
    <row r="268" spans="1:256" ht="23.25">
      <c r="A268" s="309" t="s">
        <v>444</v>
      </c>
      <c r="B268" s="294" t="s">
        <v>445</v>
      </c>
      <c r="C268" s="295">
        <f t="shared" si="41"/>
        <v>0.4594594594594595</v>
      </c>
      <c r="D268" s="310"/>
      <c r="E268" s="299">
        <v>17000</v>
      </c>
      <c r="F268" s="311"/>
      <c r="G268" s="298">
        <f t="shared" si="29"/>
        <v>1</v>
      </c>
      <c r="H268" s="299">
        <f t="shared" si="42"/>
        <v>17000</v>
      </c>
      <c r="I268" s="299">
        <v>17000</v>
      </c>
      <c r="J268" s="298">
        <f t="shared" si="38"/>
        <v>0</v>
      </c>
      <c r="K268" s="300">
        <v>0</v>
      </c>
      <c r="M268" s="174">
        <f t="shared" si="1"/>
        <v>0</v>
      </c>
      <c r="O268" s="144"/>
      <c r="FH268" s="359"/>
      <c r="FI268" s="359"/>
      <c r="FJ268" s="359"/>
      <c r="FK268" s="359"/>
      <c r="FL268" s="359"/>
      <c r="FM268" s="359"/>
      <c r="FN268" s="359"/>
      <c r="FO268" s="359"/>
      <c r="FP268" s="359"/>
      <c r="FQ268" s="359"/>
      <c r="FR268" s="359"/>
      <c r="FS268" s="359"/>
      <c r="FT268" s="359"/>
      <c r="FU268" s="359"/>
      <c r="FV268" s="359"/>
      <c r="FW268" s="359"/>
      <c r="FX268" s="359"/>
      <c r="FY268" s="359"/>
      <c r="FZ268" s="359"/>
      <c r="GA268" s="359"/>
      <c r="GB268" s="359"/>
      <c r="GC268" s="359"/>
      <c r="GD268" s="359"/>
      <c r="GE268" s="359"/>
      <c r="GF268" s="359"/>
      <c r="GG268" s="359"/>
      <c r="GH268" s="359"/>
      <c r="GI268" s="359"/>
      <c r="GJ268" s="359"/>
      <c r="GK268" s="359"/>
      <c r="GL268" s="359"/>
      <c r="GM268" s="359"/>
      <c r="GN268" s="359"/>
      <c r="GO268" s="359"/>
      <c r="GP268" s="359"/>
      <c r="GQ268" s="359"/>
      <c r="GR268" s="359"/>
      <c r="GS268" s="359"/>
      <c r="GT268" s="359"/>
      <c r="GU268" s="359"/>
      <c r="GV268" s="359"/>
      <c r="GW268" s="359"/>
      <c r="GX268" s="359"/>
      <c r="GY268" s="359"/>
      <c r="GZ268" s="359"/>
      <c r="HA268" s="359"/>
      <c r="HB268" s="359"/>
      <c r="HC268" s="359"/>
      <c r="HD268" s="359"/>
      <c r="HE268" s="359"/>
      <c r="HF268" s="359"/>
      <c r="HG268" s="359"/>
      <c r="HH268" s="359"/>
      <c r="HI268" s="359"/>
      <c r="HJ268" s="359"/>
      <c r="HK268" s="359"/>
      <c r="HL268" s="359"/>
      <c r="HM268" s="359"/>
      <c r="HN268" s="359"/>
      <c r="HO268" s="359"/>
      <c r="HP268" s="359"/>
      <c r="HQ268" s="359"/>
      <c r="HR268" s="359"/>
      <c r="HS268" s="359"/>
      <c r="HT268" s="359"/>
      <c r="HU268" s="359"/>
      <c r="HV268" s="359"/>
      <c r="HW268" s="359"/>
      <c r="HX268" s="359"/>
      <c r="HY268" s="359"/>
      <c r="HZ268" s="359"/>
      <c r="IA268" s="359"/>
      <c r="IB268" s="359"/>
      <c r="IC268" s="359"/>
      <c r="ID268" s="359"/>
      <c r="IE268" s="359"/>
      <c r="IF268" s="359"/>
      <c r="IG268" s="359"/>
      <c r="IH268" s="359"/>
      <c r="II268" s="359"/>
      <c r="IJ268" s="359"/>
      <c r="IK268" s="359"/>
      <c r="IL268" s="359"/>
      <c r="IM268" s="359"/>
      <c r="IN268" s="359"/>
      <c r="IO268" s="359"/>
      <c r="IP268" s="359"/>
      <c r="IQ268" s="359"/>
      <c r="IR268" s="359"/>
      <c r="IS268" s="359"/>
      <c r="IT268" s="359"/>
      <c r="IU268" s="359"/>
      <c r="IV268" s="359"/>
    </row>
    <row r="269" spans="1:256" ht="23.25">
      <c r="A269" s="309" t="s">
        <v>446</v>
      </c>
      <c r="B269" s="294" t="s">
        <v>447</v>
      </c>
      <c r="C269" s="295">
        <f t="shared" si="41"/>
        <v>0.32432432432432434</v>
      </c>
      <c r="D269" s="310"/>
      <c r="E269" s="299">
        <v>12000</v>
      </c>
      <c r="F269" s="311"/>
      <c r="G269" s="298">
        <f t="shared" si="29"/>
        <v>1</v>
      </c>
      <c r="H269" s="299">
        <f t="shared" si="42"/>
        <v>12000</v>
      </c>
      <c r="I269" s="299">
        <v>12000</v>
      </c>
      <c r="J269" s="298">
        <f t="shared" si="38"/>
        <v>0</v>
      </c>
      <c r="K269" s="300">
        <v>0</v>
      </c>
      <c r="M269" s="174">
        <f t="shared" si="1"/>
        <v>0</v>
      </c>
      <c r="O269" s="144"/>
      <c r="FH269" s="359"/>
      <c r="FI269" s="359"/>
      <c r="FJ269" s="359"/>
      <c r="FK269" s="359"/>
      <c r="FL269" s="359"/>
      <c r="FM269" s="359"/>
      <c r="FN269" s="359"/>
      <c r="FO269" s="359"/>
      <c r="FP269" s="359"/>
      <c r="FQ269" s="359"/>
      <c r="FR269" s="359"/>
      <c r="FS269" s="359"/>
      <c r="FT269" s="359"/>
      <c r="FU269" s="359"/>
      <c r="FV269" s="359"/>
      <c r="FW269" s="359"/>
      <c r="FX269" s="359"/>
      <c r="FY269" s="359"/>
      <c r="FZ269" s="359"/>
      <c r="GA269" s="359"/>
      <c r="GB269" s="359"/>
      <c r="GC269" s="359"/>
      <c r="GD269" s="359"/>
      <c r="GE269" s="359"/>
      <c r="GF269" s="359"/>
      <c r="GG269" s="359"/>
      <c r="GH269" s="359"/>
      <c r="GI269" s="359"/>
      <c r="GJ269" s="359"/>
      <c r="GK269" s="359"/>
      <c r="GL269" s="359"/>
      <c r="GM269" s="359"/>
      <c r="GN269" s="359"/>
      <c r="GO269" s="359"/>
      <c r="GP269" s="359"/>
      <c r="GQ269" s="359"/>
      <c r="GR269" s="359"/>
      <c r="GS269" s="359"/>
      <c r="GT269" s="359"/>
      <c r="GU269" s="359"/>
      <c r="GV269" s="359"/>
      <c r="GW269" s="359"/>
      <c r="GX269" s="359"/>
      <c r="GY269" s="359"/>
      <c r="GZ269" s="359"/>
      <c r="HA269" s="359"/>
      <c r="HB269" s="359"/>
      <c r="HC269" s="359"/>
      <c r="HD269" s="359"/>
      <c r="HE269" s="359"/>
      <c r="HF269" s="359"/>
      <c r="HG269" s="359"/>
      <c r="HH269" s="359"/>
      <c r="HI269" s="359"/>
      <c r="HJ269" s="359"/>
      <c r="HK269" s="359"/>
      <c r="HL269" s="359"/>
      <c r="HM269" s="359"/>
      <c r="HN269" s="359"/>
      <c r="HO269" s="359"/>
      <c r="HP269" s="359"/>
      <c r="HQ269" s="359"/>
      <c r="HR269" s="359"/>
      <c r="HS269" s="359"/>
      <c r="HT269" s="359"/>
      <c r="HU269" s="359"/>
      <c r="HV269" s="359"/>
      <c r="HW269" s="359"/>
      <c r="HX269" s="359"/>
      <c r="HY269" s="359"/>
      <c r="HZ269" s="359"/>
      <c r="IA269" s="359"/>
      <c r="IB269" s="359"/>
      <c r="IC269" s="359"/>
      <c r="ID269" s="359"/>
      <c r="IE269" s="359"/>
      <c r="IF269" s="359"/>
      <c r="IG269" s="359"/>
      <c r="IH269" s="359"/>
      <c r="II269" s="359"/>
      <c r="IJ269" s="359"/>
      <c r="IK269" s="359"/>
      <c r="IL269" s="359"/>
      <c r="IM269" s="359"/>
      <c r="IN269" s="359"/>
      <c r="IO269" s="359"/>
      <c r="IP269" s="359"/>
      <c r="IQ269" s="359"/>
      <c r="IR269" s="359"/>
      <c r="IS269" s="359"/>
      <c r="IT269" s="359"/>
      <c r="IU269" s="359"/>
      <c r="IV269" s="359"/>
    </row>
    <row r="270" spans="1:256" ht="23.25">
      <c r="A270" s="251" t="s">
        <v>448</v>
      </c>
      <c r="B270" s="252" t="s">
        <v>449</v>
      </c>
      <c r="C270" s="378">
        <f aca="true" t="shared" si="43" ref="C270:C273">+E270/$E$262</f>
        <v>0.1917959291314042</v>
      </c>
      <c r="D270" s="254">
        <v>125133</v>
      </c>
      <c r="E270" s="257">
        <v>80000</v>
      </c>
      <c r="F270" s="255"/>
      <c r="G270" s="256">
        <f t="shared" si="29"/>
        <v>1</v>
      </c>
      <c r="H270" s="257">
        <f t="shared" si="42"/>
        <v>80000</v>
      </c>
      <c r="I270" s="257">
        <v>80000</v>
      </c>
      <c r="J270" s="256">
        <f t="shared" si="38"/>
        <v>0</v>
      </c>
      <c r="K270" s="258">
        <v>0</v>
      </c>
      <c r="M270" s="174">
        <f t="shared" si="1"/>
        <v>0</v>
      </c>
      <c r="O270" s="144"/>
      <c r="FH270" s="304"/>
      <c r="FI270" s="304"/>
      <c r="FJ270" s="304"/>
      <c r="FK270" s="304"/>
      <c r="FL270" s="304"/>
      <c r="FM270" s="304"/>
      <c r="FN270" s="304"/>
      <c r="FO270" s="304"/>
      <c r="FP270" s="304"/>
      <c r="FQ270" s="304"/>
      <c r="FR270" s="304"/>
      <c r="FS270" s="304"/>
      <c r="FT270" s="304"/>
      <c r="FU270" s="304"/>
      <c r="FV270" s="304"/>
      <c r="FW270" s="304"/>
      <c r="FX270" s="304"/>
      <c r="FY270" s="304"/>
      <c r="FZ270" s="304"/>
      <c r="GA270" s="304"/>
      <c r="GB270" s="304"/>
      <c r="GC270" s="304"/>
      <c r="GD270" s="304"/>
      <c r="GE270" s="304"/>
      <c r="GF270" s="304"/>
      <c r="GG270" s="304"/>
      <c r="GH270" s="304"/>
      <c r="GI270" s="304"/>
      <c r="GJ270" s="304"/>
      <c r="GK270" s="304"/>
      <c r="GL270" s="304"/>
      <c r="GM270" s="304"/>
      <c r="GN270" s="304"/>
      <c r="GO270" s="304"/>
      <c r="GP270" s="304"/>
      <c r="GQ270" s="304"/>
      <c r="GR270" s="304"/>
      <c r="GS270" s="304"/>
      <c r="GT270" s="304"/>
      <c r="GU270" s="304"/>
      <c r="GV270" s="304"/>
      <c r="GW270" s="304"/>
      <c r="GX270" s="304"/>
      <c r="GY270" s="304"/>
      <c r="GZ270" s="304"/>
      <c r="HA270" s="304"/>
      <c r="HB270" s="304"/>
      <c r="HC270" s="304"/>
      <c r="HD270" s="304"/>
      <c r="HE270" s="304"/>
      <c r="HF270" s="304"/>
      <c r="HG270" s="304"/>
      <c r="HH270" s="304"/>
      <c r="HI270" s="304"/>
      <c r="HJ270" s="304"/>
      <c r="HK270" s="304"/>
      <c r="HL270" s="304"/>
      <c r="HM270" s="304"/>
      <c r="HN270" s="304"/>
      <c r="HO270" s="304"/>
      <c r="HP270" s="304"/>
      <c r="HQ270" s="304"/>
      <c r="HR270" s="304"/>
      <c r="HS270" s="304"/>
      <c r="HT270" s="304"/>
      <c r="HU270" s="304"/>
      <c r="HV270" s="304"/>
      <c r="HW270" s="304"/>
      <c r="HX270" s="304"/>
      <c r="HY270" s="304"/>
      <c r="HZ270" s="304"/>
      <c r="IA270" s="304"/>
      <c r="IB270" s="304"/>
      <c r="IC270" s="304"/>
      <c r="ID270" s="304"/>
      <c r="IE270" s="304"/>
      <c r="IF270" s="304"/>
      <c r="IG270" s="304"/>
      <c r="IH270" s="304"/>
      <c r="II270" s="304"/>
      <c r="IJ270" s="304"/>
      <c r="IK270" s="304"/>
      <c r="IL270" s="304"/>
      <c r="IM270" s="304"/>
      <c r="IN270" s="304"/>
      <c r="IO270" s="304"/>
      <c r="IP270" s="304"/>
      <c r="IQ270" s="304"/>
      <c r="IR270" s="304"/>
      <c r="IS270" s="304"/>
      <c r="IT270" s="304"/>
      <c r="IU270" s="304"/>
      <c r="IV270" s="304"/>
    </row>
    <row r="271" spans="1:256" ht="23.25">
      <c r="A271" s="251" t="s">
        <v>450</v>
      </c>
      <c r="B271" s="252" t="s">
        <v>451</v>
      </c>
      <c r="C271" s="378">
        <f t="shared" si="43"/>
        <v>0.04794898228285105</v>
      </c>
      <c r="D271" s="254"/>
      <c r="E271" s="257">
        <v>20000</v>
      </c>
      <c r="F271" s="255"/>
      <c r="G271" s="256">
        <f t="shared" si="29"/>
        <v>1</v>
      </c>
      <c r="H271" s="257">
        <f t="shared" si="42"/>
        <v>20000</v>
      </c>
      <c r="I271" s="257">
        <v>20000</v>
      </c>
      <c r="J271" s="256">
        <f t="shared" si="38"/>
        <v>0</v>
      </c>
      <c r="K271" s="258">
        <v>0</v>
      </c>
      <c r="M271" s="174">
        <f t="shared" si="1"/>
        <v>0</v>
      </c>
      <c r="O271" s="144"/>
      <c r="FH271" s="304"/>
      <c r="FI271" s="304"/>
      <c r="FJ271" s="304"/>
      <c r="FK271" s="304"/>
      <c r="FL271" s="304"/>
      <c r="FM271" s="304"/>
      <c r="FN271" s="304"/>
      <c r="FO271" s="304"/>
      <c r="FP271" s="304"/>
      <c r="FQ271" s="304"/>
      <c r="FR271" s="304"/>
      <c r="FS271" s="304"/>
      <c r="FT271" s="304"/>
      <c r="FU271" s="304"/>
      <c r="FV271" s="304"/>
      <c r="FW271" s="304"/>
      <c r="FX271" s="304"/>
      <c r="FY271" s="304"/>
      <c r="FZ271" s="304"/>
      <c r="GA271" s="304"/>
      <c r="GB271" s="304"/>
      <c r="GC271" s="304"/>
      <c r="GD271" s="304"/>
      <c r="GE271" s="304"/>
      <c r="GF271" s="304"/>
      <c r="GG271" s="304"/>
      <c r="GH271" s="304"/>
      <c r="GI271" s="304"/>
      <c r="GJ271" s="304"/>
      <c r="GK271" s="304"/>
      <c r="GL271" s="304"/>
      <c r="GM271" s="304"/>
      <c r="GN271" s="304"/>
      <c r="GO271" s="304"/>
      <c r="GP271" s="304"/>
      <c r="GQ271" s="304"/>
      <c r="GR271" s="304"/>
      <c r="GS271" s="304"/>
      <c r="GT271" s="304"/>
      <c r="GU271" s="304"/>
      <c r="GV271" s="304"/>
      <c r="GW271" s="304"/>
      <c r="GX271" s="304"/>
      <c r="GY271" s="304"/>
      <c r="GZ271" s="304"/>
      <c r="HA271" s="304"/>
      <c r="HB271" s="304"/>
      <c r="HC271" s="304"/>
      <c r="HD271" s="304"/>
      <c r="HE271" s="304"/>
      <c r="HF271" s="304"/>
      <c r="HG271" s="304"/>
      <c r="HH271" s="304"/>
      <c r="HI271" s="304"/>
      <c r="HJ271" s="304"/>
      <c r="HK271" s="304"/>
      <c r="HL271" s="304"/>
      <c r="HM271" s="304"/>
      <c r="HN271" s="304"/>
      <c r="HO271" s="304"/>
      <c r="HP271" s="304"/>
      <c r="HQ271" s="304"/>
      <c r="HR271" s="304"/>
      <c r="HS271" s="304"/>
      <c r="HT271" s="304"/>
      <c r="HU271" s="304"/>
      <c r="HV271" s="304"/>
      <c r="HW271" s="304"/>
      <c r="HX271" s="304"/>
      <c r="HY271" s="304"/>
      <c r="HZ271" s="304"/>
      <c r="IA271" s="304"/>
      <c r="IB271" s="304"/>
      <c r="IC271" s="304"/>
      <c r="ID271" s="304"/>
      <c r="IE271" s="304"/>
      <c r="IF271" s="304"/>
      <c r="IG271" s="304"/>
      <c r="IH271" s="304"/>
      <c r="II271" s="304"/>
      <c r="IJ271" s="304"/>
      <c r="IK271" s="304"/>
      <c r="IL271" s="304"/>
      <c r="IM271" s="304"/>
      <c r="IN271" s="304"/>
      <c r="IO271" s="304"/>
      <c r="IP271" s="304"/>
      <c r="IQ271" s="304"/>
      <c r="IR271" s="304"/>
      <c r="IS271" s="304"/>
      <c r="IT271" s="304"/>
      <c r="IU271" s="304"/>
      <c r="IV271" s="304"/>
    </row>
    <row r="272" spans="1:256" ht="23.25">
      <c r="A272" s="251" t="s">
        <v>452</v>
      </c>
      <c r="B272" s="252" t="s">
        <v>453</v>
      </c>
      <c r="C272" s="378">
        <f t="shared" si="43"/>
        <v>0.03596173671213829</v>
      </c>
      <c r="D272" s="254"/>
      <c r="E272" s="257">
        <v>15000</v>
      </c>
      <c r="F272" s="255"/>
      <c r="G272" s="256">
        <f t="shared" si="29"/>
        <v>1</v>
      </c>
      <c r="H272" s="257">
        <f t="shared" si="42"/>
        <v>15000</v>
      </c>
      <c r="I272" s="257">
        <v>15000</v>
      </c>
      <c r="J272" s="256">
        <f t="shared" si="38"/>
        <v>0</v>
      </c>
      <c r="K272" s="258">
        <v>0</v>
      </c>
      <c r="M272" s="174">
        <f t="shared" si="1"/>
        <v>0</v>
      </c>
      <c r="O272" s="144"/>
      <c r="FH272" s="304"/>
      <c r="FI272" s="304"/>
      <c r="FJ272" s="304"/>
      <c r="FK272" s="304"/>
      <c r="FL272" s="304"/>
      <c r="FM272" s="304"/>
      <c r="FN272" s="304"/>
      <c r="FO272" s="304"/>
      <c r="FP272" s="304"/>
      <c r="FQ272" s="304"/>
      <c r="FR272" s="304"/>
      <c r="FS272" s="304"/>
      <c r="FT272" s="304"/>
      <c r="FU272" s="304"/>
      <c r="FV272" s="304"/>
      <c r="FW272" s="304"/>
      <c r="FX272" s="304"/>
      <c r="FY272" s="304"/>
      <c r="FZ272" s="304"/>
      <c r="GA272" s="304"/>
      <c r="GB272" s="304"/>
      <c r="GC272" s="304"/>
      <c r="GD272" s="304"/>
      <c r="GE272" s="304"/>
      <c r="GF272" s="304"/>
      <c r="GG272" s="304"/>
      <c r="GH272" s="304"/>
      <c r="GI272" s="304"/>
      <c r="GJ272" s="304"/>
      <c r="GK272" s="304"/>
      <c r="GL272" s="304"/>
      <c r="GM272" s="304"/>
      <c r="GN272" s="304"/>
      <c r="GO272" s="304"/>
      <c r="GP272" s="304"/>
      <c r="GQ272" s="304"/>
      <c r="GR272" s="304"/>
      <c r="GS272" s="304"/>
      <c r="GT272" s="304"/>
      <c r="GU272" s="304"/>
      <c r="GV272" s="304"/>
      <c r="GW272" s="304"/>
      <c r="GX272" s="304"/>
      <c r="GY272" s="304"/>
      <c r="GZ272" s="304"/>
      <c r="HA272" s="304"/>
      <c r="HB272" s="304"/>
      <c r="HC272" s="304"/>
      <c r="HD272" s="304"/>
      <c r="HE272" s="304"/>
      <c r="HF272" s="304"/>
      <c r="HG272" s="304"/>
      <c r="HH272" s="304"/>
      <c r="HI272" s="304"/>
      <c r="HJ272" s="304"/>
      <c r="HK272" s="304"/>
      <c r="HL272" s="304"/>
      <c r="HM272" s="304"/>
      <c r="HN272" s="304"/>
      <c r="HO272" s="304"/>
      <c r="HP272" s="304"/>
      <c r="HQ272" s="304"/>
      <c r="HR272" s="304"/>
      <c r="HS272" s="304"/>
      <c r="HT272" s="304"/>
      <c r="HU272" s="304"/>
      <c r="HV272" s="304"/>
      <c r="HW272" s="304"/>
      <c r="HX272" s="304"/>
      <c r="HY272" s="304"/>
      <c r="HZ272" s="304"/>
      <c r="IA272" s="304"/>
      <c r="IB272" s="304"/>
      <c r="IC272" s="304"/>
      <c r="ID272" s="304"/>
      <c r="IE272" s="304"/>
      <c r="IF272" s="304"/>
      <c r="IG272" s="304"/>
      <c r="IH272" s="304"/>
      <c r="II272" s="304"/>
      <c r="IJ272" s="304"/>
      <c r="IK272" s="304"/>
      <c r="IL272" s="304"/>
      <c r="IM272" s="304"/>
      <c r="IN272" s="304"/>
      <c r="IO272" s="304"/>
      <c r="IP272" s="304"/>
      <c r="IQ272" s="304"/>
      <c r="IR272" s="304"/>
      <c r="IS272" s="304"/>
      <c r="IT272" s="304"/>
      <c r="IU272" s="304"/>
      <c r="IV272" s="304"/>
    </row>
    <row r="273" spans="1:256" ht="23.25">
      <c r="A273" s="251" t="s">
        <v>454</v>
      </c>
      <c r="B273" s="252" t="s">
        <v>455</v>
      </c>
      <c r="C273" s="378">
        <f t="shared" si="43"/>
        <v>0.20164944499053009</v>
      </c>
      <c r="D273" s="254">
        <v>145988</v>
      </c>
      <c r="E273" s="257">
        <f>+E274+E275+E276</f>
        <v>84110</v>
      </c>
      <c r="F273" s="255"/>
      <c r="G273" s="256">
        <f t="shared" si="29"/>
        <v>1</v>
      </c>
      <c r="H273" s="257">
        <f t="shared" si="42"/>
        <v>84110</v>
      </c>
      <c r="I273" s="257">
        <f>+I274+I275+I276</f>
        <v>84110</v>
      </c>
      <c r="J273" s="256">
        <f t="shared" si="38"/>
        <v>0</v>
      </c>
      <c r="K273" s="258">
        <f>SUM(K274:K276)</f>
        <v>0</v>
      </c>
      <c r="M273" s="174">
        <f t="shared" si="1"/>
        <v>0</v>
      </c>
      <c r="O273" s="144"/>
      <c r="FH273" s="304"/>
      <c r="FI273" s="304"/>
      <c r="FJ273" s="304"/>
      <c r="FK273" s="304"/>
      <c r="FL273" s="304"/>
      <c r="FM273" s="304"/>
      <c r="FN273" s="304"/>
      <c r="FO273" s="304"/>
      <c r="FP273" s="304"/>
      <c r="FQ273" s="304"/>
      <c r="FR273" s="304"/>
      <c r="FS273" s="304"/>
      <c r="FT273" s="304"/>
      <c r="FU273" s="304"/>
      <c r="FV273" s="304"/>
      <c r="FW273" s="304"/>
      <c r="FX273" s="304"/>
      <c r="FY273" s="304"/>
      <c r="FZ273" s="304"/>
      <c r="GA273" s="304"/>
      <c r="GB273" s="304"/>
      <c r="GC273" s="304"/>
      <c r="GD273" s="304"/>
      <c r="GE273" s="304"/>
      <c r="GF273" s="304"/>
      <c r="GG273" s="304"/>
      <c r="GH273" s="304"/>
      <c r="GI273" s="304"/>
      <c r="GJ273" s="304"/>
      <c r="GK273" s="304"/>
      <c r="GL273" s="304"/>
      <c r="GM273" s="304"/>
      <c r="GN273" s="304"/>
      <c r="GO273" s="304"/>
      <c r="GP273" s="304"/>
      <c r="GQ273" s="304"/>
      <c r="GR273" s="304"/>
      <c r="GS273" s="304"/>
      <c r="GT273" s="304"/>
      <c r="GU273" s="304"/>
      <c r="GV273" s="304"/>
      <c r="GW273" s="304"/>
      <c r="GX273" s="304"/>
      <c r="GY273" s="304"/>
      <c r="GZ273" s="304"/>
      <c r="HA273" s="304"/>
      <c r="HB273" s="304"/>
      <c r="HC273" s="304"/>
      <c r="HD273" s="304"/>
      <c r="HE273" s="304"/>
      <c r="HF273" s="304"/>
      <c r="HG273" s="304"/>
      <c r="HH273" s="304"/>
      <c r="HI273" s="304"/>
      <c r="HJ273" s="304"/>
      <c r="HK273" s="304"/>
      <c r="HL273" s="304"/>
      <c r="HM273" s="304"/>
      <c r="HN273" s="304"/>
      <c r="HO273" s="304"/>
      <c r="HP273" s="304"/>
      <c r="HQ273" s="304"/>
      <c r="HR273" s="304"/>
      <c r="HS273" s="304"/>
      <c r="HT273" s="304"/>
      <c r="HU273" s="304"/>
      <c r="HV273" s="304"/>
      <c r="HW273" s="304"/>
      <c r="HX273" s="304"/>
      <c r="HY273" s="304"/>
      <c r="HZ273" s="304"/>
      <c r="IA273" s="304"/>
      <c r="IB273" s="304"/>
      <c r="IC273" s="304"/>
      <c r="ID273" s="304"/>
      <c r="IE273" s="304"/>
      <c r="IF273" s="304"/>
      <c r="IG273" s="304"/>
      <c r="IH273" s="304"/>
      <c r="II273" s="304"/>
      <c r="IJ273" s="304"/>
      <c r="IK273" s="304"/>
      <c r="IL273" s="304"/>
      <c r="IM273" s="304"/>
      <c r="IN273" s="304"/>
      <c r="IO273" s="304"/>
      <c r="IP273" s="304"/>
      <c r="IQ273" s="304"/>
      <c r="IR273" s="304"/>
      <c r="IS273" s="304"/>
      <c r="IT273" s="304"/>
      <c r="IU273" s="304"/>
      <c r="IV273" s="304"/>
    </row>
    <row r="274" spans="1:256" ht="23.25">
      <c r="A274" s="309" t="s">
        <v>456</v>
      </c>
      <c r="B274" s="294" t="s">
        <v>457</v>
      </c>
      <c r="C274" s="319">
        <f aca="true" t="shared" si="44" ref="C274:C276">+E274/$E$273</f>
        <v>0.41612174533349183</v>
      </c>
      <c r="D274" s="310"/>
      <c r="E274" s="299">
        <v>35000</v>
      </c>
      <c r="F274" s="311"/>
      <c r="G274" s="298">
        <f t="shared" si="29"/>
        <v>1</v>
      </c>
      <c r="H274" s="299">
        <f t="shared" si="42"/>
        <v>35000</v>
      </c>
      <c r="I274" s="299">
        <v>35000</v>
      </c>
      <c r="J274" s="298">
        <f t="shared" si="38"/>
        <v>0</v>
      </c>
      <c r="K274" s="300">
        <v>0</v>
      </c>
      <c r="M274" s="174">
        <f t="shared" si="1"/>
        <v>0</v>
      </c>
      <c r="O274" s="144"/>
      <c r="FH274" s="359"/>
      <c r="FI274" s="359"/>
      <c r="FJ274" s="359"/>
      <c r="FK274" s="359"/>
      <c r="FL274" s="359"/>
      <c r="FM274" s="359"/>
      <c r="FN274" s="359"/>
      <c r="FO274" s="359"/>
      <c r="FP274" s="359"/>
      <c r="FQ274" s="359"/>
      <c r="FR274" s="359"/>
      <c r="FS274" s="359"/>
      <c r="FT274" s="359"/>
      <c r="FU274" s="359"/>
      <c r="FV274" s="359"/>
      <c r="FW274" s="359"/>
      <c r="FX274" s="359"/>
      <c r="FY274" s="359"/>
      <c r="FZ274" s="359"/>
      <c r="GA274" s="359"/>
      <c r="GB274" s="359"/>
      <c r="GC274" s="359"/>
      <c r="GD274" s="359"/>
      <c r="GE274" s="359"/>
      <c r="GF274" s="359"/>
      <c r="GG274" s="359"/>
      <c r="GH274" s="359"/>
      <c r="GI274" s="359"/>
      <c r="GJ274" s="359"/>
      <c r="GK274" s="359"/>
      <c r="GL274" s="359"/>
      <c r="GM274" s="359"/>
      <c r="GN274" s="359"/>
      <c r="GO274" s="359"/>
      <c r="GP274" s="359"/>
      <c r="GQ274" s="359"/>
      <c r="GR274" s="359"/>
      <c r="GS274" s="359"/>
      <c r="GT274" s="359"/>
      <c r="GU274" s="359"/>
      <c r="GV274" s="359"/>
      <c r="GW274" s="359"/>
      <c r="GX274" s="359"/>
      <c r="GY274" s="359"/>
      <c r="GZ274" s="359"/>
      <c r="HA274" s="359"/>
      <c r="HB274" s="359"/>
      <c r="HC274" s="359"/>
      <c r="HD274" s="359"/>
      <c r="HE274" s="359"/>
      <c r="HF274" s="359"/>
      <c r="HG274" s="359"/>
      <c r="HH274" s="359"/>
      <c r="HI274" s="359"/>
      <c r="HJ274" s="359"/>
      <c r="HK274" s="359"/>
      <c r="HL274" s="359"/>
      <c r="HM274" s="359"/>
      <c r="HN274" s="359"/>
      <c r="HO274" s="359"/>
      <c r="HP274" s="359"/>
      <c r="HQ274" s="359"/>
      <c r="HR274" s="359"/>
      <c r="HS274" s="359"/>
      <c r="HT274" s="359"/>
      <c r="HU274" s="359"/>
      <c r="HV274" s="359"/>
      <c r="HW274" s="359"/>
      <c r="HX274" s="359"/>
      <c r="HY274" s="359"/>
      <c r="HZ274" s="359"/>
      <c r="IA274" s="359"/>
      <c r="IB274" s="359"/>
      <c r="IC274" s="359"/>
      <c r="ID274" s="359"/>
      <c r="IE274" s="359"/>
      <c r="IF274" s="359"/>
      <c r="IG274" s="359"/>
      <c r="IH274" s="359"/>
      <c r="II274" s="359"/>
      <c r="IJ274" s="359"/>
      <c r="IK274" s="359"/>
      <c r="IL274" s="359"/>
      <c r="IM274" s="359"/>
      <c r="IN274" s="359"/>
      <c r="IO274" s="359"/>
      <c r="IP274" s="359"/>
      <c r="IQ274" s="359"/>
      <c r="IR274" s="359"/>
      <c r="IS274" s="359"/>
      <c r="IT274" s="359"/>
      <c r="IU274" s="359"/>
      <c r="IV274" s="359"/>
    </row>
    <row r="275" spans="1:256" ht="23.25">
      <c r="A275" s="309" t="s">
        <v>458</v>
      </c>
      <c r="B275" s="294" t="s">
        <v>459</v>
      </c>
      <c r="C275" s="319">
        <f t="shared" si="44"/>
        <v>0.23778385447628106</v>
      </c>
      <c r="D275" s="310"/>
      <c r="E275" s="299">
        <v>20000</v>
      </c>
      <c r="F275" s="311"/>
      <c r="G275" s="298">
        <f t="shared" si="29"/>
        <v>1</v>
      </c>
      <c r="H275" s="299">
        <f t="shared" si="42"/>
        <v>20000</v>
      </c>
      <c r="I275" s="299">
        <v>20000</v>
      </c>
      <c r="J275" s="298">
        <f t="shared" si="38"/>
        <v>0</v>
      </c>
      <c r="K275" s="300">
        <v>0</v>
      </c>
      <c r="M275" s="174">
        <f t="shared" si="1"/>
        <v>0</v>
      </c>
      <c r="O275" s="144"/>
      <c r="FH275" s="359"/>
      <c r="FI275" s="359"/>
      <c r="FJ275" s="359"/>
      <c r="FK275" s="359"/>
      <c r="FL275" s="359"/>
      <c r="FM275" s="359"/>
      <c r="FN275" s="359"/>
      <c r="FO275" s="359"/>
      <c r="FP275" s="359"/>
      <c r="FQ275" s="359"/>
      <c r="FR275" s="359"/>
      <c r="FS275" s="359"/>
      <c r="FT275" s="359"/>
      <c r="FU275" s="359"/>
      <c r="FV275" s="359"/>
      <c r="FW275" s="359"/>
      <c r="FX275" s="359"/>
      <c r="FY275" s="359"/>
      <c r="FZ275" s="359"/>
      <c r="GA275" s="359"/>
      <c r="GB275" s="359"/>
      <c r="GC275" s="359"/>
      <c r="GD275" s="359"/>
      <c r="GE275" s="359"/>
      <c r="GF275" s="359"/>
      <c r="GG275" s="359"/>
      <c r="GH275" s="359"/>
      <c r="GI275" s="359"/>
      <c r="GJ275" s="359"/>
      <c r="GK275" s="359"/>
      <c r="GL275" s="359"/>
      <c r="GM275" s="359"/>
      <c r="GN275" s="359"/>
      <c r="GO275" s="359"/>
      <c r="GP275" s="359"/>
      <c r="GQ275" s="359"/>
      <c r="GR275" s="359"/>
      <c r="GS275" s="359"/>
      <c r="GT275" s="359"/>
      <c r="GU275" s="359"/>
      <c r="GV275" s="359"/>
      <c r="GW275" s="359"/>
      <c r="GX275" s="359"/>
      <c r="GY275" s="359"/>
      <c r="GZ275" s="359"/>
      <c r="HA275" s="359"/>
      <c r="HB275" s="359"/>
      <c r="HC275" s="359"/>
      <c r="HD275" s="359"/>
      <c r="HE275" s="359"/>
      <c r="HF275" s="359"/>
      <c r="HG275" s="359"/>
      <c r="HH275" s="359"/>
      <c r="HI275" s="359"/>
      <c r="HJ275" s="359"/>
      <c r="HK275" s="359"/>
      <c r="HL275" s="359"/>
      <c r="HM275" s="359"/>
      <c r="HN275" s="359"/>
      <c r="HO275" s="359"/>
      <c r="HP275" s="359"/>
      <c r="HQ275" s="359"/>
      <c r="HR275" s="359"/>
      <c r="HS275" s="359"/>
      <c r="HT275" s="359"/>
      <c r="HU275" s="359"/>
      <c r="HV275" s="359"/>
      <c r="HW275" s="359"/>
      <c r="HX275" s="359"/>
      <c r="HY275" s="359"/>
      <c r="HZ275" s="359"/>
      <c r="IA275" s="359"/>
      <c r="IB275" s="359"/>
      <c r="IC275" s="359"/>
      <c r="ID275" s="359"/>
      <c r="IE275" s="359"/>
      <c r="IF275" s="359"/>
      <c r="IG275" s="359"/>
      <c r="IH275" s="359"/>
      <c r="II275" s="359"/>
      <c r="IJ275" s="359"/>
      <c r="IK275" s="359"/>
      <c r="IL275" s="359"/>
      <c r="IM275" s="359"/>
      <c r="IN275" s="359"/>
      <c r="IO275" s="359"/>
      <c r="IP275" s="359"/>
      <c r="IQ275" s="359"/>
      <c r="IR275" s="359"/>
      <c r="IS275" s="359"/>
      <c r="IT275" s="359"/>
      <c r="IU275" s="359"/>
      <c r="IV275" s="359"/>
    </row>
    <row r="276" spans="1:256" ht="23.25">
      <c r="A276" s="309" t="s">
        <v>460</v>
      </c>
      <c r="B276" s="294" t="s">
        <v>461</v>
      </c>
      <c r="C276" s="319">
        <f t="shared" si="44"/>
        <v>0.3460944001902271</v>
      </c>
      <c r="D276" s="310"/>
      <c r="E276" s="299">
        <v>29110</v>
      </c>
      <c r="F276" s="311"/>
      <c r="G276" s="298">
        <f t="shared" si="29"/>
        <v>1</v>
      </c>
      <c r="H276" s="299">
        <f t="shared" si="42"/>
        <v>29110</v>
      </c>
      <c r="I276" s="299">
        <v>29110</v>
      </c>
      <c r="J276" s="298">
        <f t="shared" si="38"/>
        <v>0</v>
      </c>
      <c r="K276" s="300">
        <v>0</v>
      </c>
      <c r="M276" s="174">
        <f t="shared" si="1"/>
        <v>0</v>
      </c>
      <c r="O276" s="144"/>
      <c r="FH276" s="359"/>
      <c r="FI276" s="359"/>
      <c r="FJ276" s="359"/>
      <c r="FK276" s="359"/>
      <c r="FL276" s="359"/>
      <c r="FM276" s="359"/>
      <c r="FN276" s="359"/>
      <c r="FO276" s="359"/>
      <c r="FP276" s="359"/>
      <c r="FQ276" s="359"/>
      <c r="FR276" s="359"/>
      <c r="FS276" s="359"/>
      <c r="FT276" s="359"/>
      <c r="FU276" s="359"/>
      <c r="FV276" s="359"/>
      <c r="FW276" s="359"/>
      <c r="FX276" s="359"/>
      <c r="FY276" s="359"/>
      <c r="FZ276" s="359"/>
      <c r="GA276" s="359"/>
      <c r="GB276" s="359"/>
      <c r="GC276" s="359"/>
      <c r="GD276" s="359"/>
      <c r="GE276" s="359"/>
      <c r="GF276" s="359"/>
      <c r="GG276" s="359"/>
      <c r="GH276" s="359"/>
      <c r="GI276" s="359"/>
      <c r="GJ276" s="359"/>
      <c r="GK276" s="359"/>
      <c r="GL276" s="359"/>
      <c r="GM276" s="359"/>
      <c r="GN276" s="359"/>
      <c r="GO276" s="359"/>
      <c r="GP276" s="359"/>
      <c r="GQ276" s="359"/>
      <c r="GR276" s="359"/>
      <c r="GS276" s="359"/>
      <c r="GT276" s="359"/>
      <c r="GU276" s="359"/>
      <c r="GV276" s="359"/>
      <c r="GW276" s="359"/>
      <c r="GX276" s="359"/>
      <c r="GY276" s="359"/>
      <c r="GZ276" s="359"/>
      <c r="HA276" s="359"/>
      <c r="HB276" s="359"/>
      <c r="HC276" s="359"/>
      <c r="HD276" s="359"/>
      <c r="HE276" s="359"/>
      <c r="HF276" s="359"/>
      <c r="HG276" s="359"/>
      <c r="HH276" s="359"/>
      <c r="HI276" s="359"/>
      <c r="HJ276" s="359"/>
      <c r="HK276" s="359"/>
      <c r="HL276" s="359"/>
      <c r="HM276" s="359"/>
      <c r="HN276" s="359"/>
      <c r="HO276" s="359"/>
      <c r="HP276" s="359"/>
      <c r="HQ276" s="359"/>
      <c r="HR276" s="359"/>
      <c r="HS276" s="359"/>
      <c r="HT276" s="359"/>
      <c r="HU276" s="359"/>
      <c r="HV276" s="359"/>
      <c r="HW276" s="359"/>
      <c r="HX276" s="359"/>
      <c r="HY276" s="359"/>
      <c r="HZ276" s="359"/>
      <c r="IA276" s="359"/>
      <c r="IB276" s="359"/>
      <c r="IC276" s="359"/>
      <c r="ID276" s="359"/>
      <c r="IE276" s="359"/>
      <c r="IF276" s="359"/>
      <c r="IG276" s="359"/>
      <c r="IH276" s="359"/>
      <c r="II276" s="359"/>
      <c r="IJ276" s="359"/>
      <c r="IK276" s="359"/>
      <c r="IL276" s="359"/>
      <c r="IM276" s="359"/>
      <c r="IN276" s="359"/>
      <c r="IO276" s="359"/>
      <c r="IP276" s="359"/>
      <c r="IQ276" s="359"/>
      <c r="IR276" s="359"/>
      <c r="IS276" s="359"/>
      <c r="IT276" s="359"/>
      <c r="IU276" s="359"/>
      <c r="IV276" s="359"/>
    </row>
    <row r="277" spans="1:256" ht="23.25">
      <c r="A277" s="251" t="s">
        <v>462</v>
      </c>
      <c r="B277" s="252" t="s">
        <v>463</v>
      </c>
      <c r="C277" s="378">
        <f>+E277/E262</f>
        <v>0.07192347342427657</v>
      </c>
      <c r="D277" s="254"/>
      <c r="E277" s="257">
        <v>30000</v>
      </c>
      <c r="F277" s="255"/>
      <c r="G277" s="256">
        <f t="shared" si="29"/>
        <v>1</v>
      </c>
      <c r="H277" s="257">
        <f t="shared" si="42"/>
        <v>30000</v>
      </c>
      <c r="I277" s="257">
        <v>30000</v>
      </c>
      <c r="J277" s="256">
        <f t="shared" si="38"/>
        <v>0</v>
      </c>
      <c r="K277" s="258">
        <v>0</v>
      </c>
      <c r="M277" s="174">
        <f t="shared" si="1"/>
        <v>0</v>
      </c>
      <c r="O277" s="144"/>
      <c r="FH277" s="304"/>
      <c r="FI277" s="304"/>
      <c r="FJ277" s="304"/>
      <c r="FK277" s="304"/>
      <c r="FL277" s="304"/>
      <c r="FM277" s="304"/>
      <c r="FN277" s="304"/>
      <c r="FO277" s="304"/>
      <c r="FP277" s="304"/>
      <c r="FQ277" s="304"/>
      <c r="FR277" s="304"/>
      <c r="FS277" s="304"/>
      <c r="FT277" s="304"/>
      <c r="FU277" s="304"/>
      <c r="FV277" s="304"/>
      <c r="FW277" s="304"/>
      <c r="FX277" s="304"/>
      <c r="FY277" s="304"/>
      <c r="FZ277" s="304"/>
      <c r="GA277" s="304"/>
      <c r="GB277" s="304"/>
      <c r="GC277" s="304"/>
      <c r="GD277" s="304"/>
      <c r="GE277" s="304"/>
      <c r="GF277" s="304"/>
      <c r="GG277" s="304"/>
      <c r="GH277" s="304"/>
      <c r="GI277" s="304"/>
      <c r="GJ277" s="304"/>
      <c r="GK277" s="304"/>
      <c r="GL277" s="304"/>
      <c r="GM277" s="304"/>
      <c r="GN277" s="304"/>
      <c r="GO277" s="304"/>
      <c r="GP277" s="304"/>
      <c r="GQ277" s="304"/>
      <c r="GR277" s="304"/>
      <c r="GS277" s="304"/>
      <c r="GT277" s="304"/>
      <c r="GU277" s="304"/>
      <c r="GV277" s="304"/>
      <c r="GW277" s="304"/>
      <c r="GX277" s="304"/>
      <c r="GY277" s="304"/>
      <c r="GZ277" s="304"/>
      <c r="HA277" s="304"/>
      <c r="HB277" s="304"/>
      <c r="HC277" s="304"/>
      <c r="HD277" s="304"/>
      <c r="HE277" s="304"/>
      <c r="HF277" s="304"/>
      <c r="HG277" s="304"/>
      <c r="HH277" s="304"/>
      <c r="HI277" s="304"/>
      <c r="HJ277" s="304"/>
      <c r="HK277" s="304"/>
      <c r="HL277" s="304"/>
      <c r="HM277" s="304"/>
      <c r="HN277" s="304"/>
      <c r="HO277" s="304"/>
      <c r="HP277" s="304"/>
      <c r="HQ277" s="304"/>
      <c r="HR277" s="304"/>
      <c r="HS277" s="304"/>
      <c r="HT277" s="304"/>
      <c r="HU277" s="304"/>
      <c r="HV277" s="304"/>
      <c r="HW277" s="304"/>
      <c r="HX277" s="304"/>
      <c r="HY277" s="304"/>
      <c r="HZ277" s="304"/>
      <c r="IA277" s="304"/>
      <c r="IB277" s="304"/>
      <c r="IC277" s="304"/>
      <c r="ID277" s="304"/>
      <c r="IE277" s="304"/>
      <c r="IF277" s="304"/>
      <c r="IG277" s="304"/>
      <c r="IH277" s="304"/>
      <c r="II277" s="304"/>
      <c r="IJ277" s="304"/>
      <c r="IK277" s="304"/>
      <c r="IL277" s="304"/>
      <c r="IM277" s="304"/>
      <c r="IN277" s="304"/>
      <c r="IO277" s="304"/>
      <c r="IP277" s="304"/>
      <c r="IQ277" s="304"/>
      <c r="IR277" s="304"/>
      <c r="IS277" s="304"/>
      <c r="IT277" s="304"/>
      <c r="IU277" s="304"/>
      <c r="IV277" s="304"/>
    </row>
    <row r="278" spans="1:256" ht="23.25">
      <c r="A278" s="251" t="s">
        <v>464</v>
      </c>
      <c r="B278" s="252" t="s">
        <v>465</v>
      </c>
      <c r="C278" s="378">
        <f>+E278/E262</f>
        <v>0.21816786938697227</v>
      </c>
      <c r="D278" s="254">
        <v>95936</v>
      </c>
      <c r="E278" s="257">
        <f>SUM(E279:E286)</f>
        <v>91000</v>
      </c>
      <c r="F278" s="255"/>
      <c r="G278" s="256">
        <f t="shared" si="29"/>
        <v>1</v>
      </c>
      <c r="H278" s="257">
        <f t="shared" si="42"/>
        <v>91000</v>
      </c>
      <c r="I278" s="257">
        <v>91000</v>
      </c>
      <c r="J278" s="256">
        <f t="shared" si="38"/>
        <v>0</v>
      </c>
      <c r="K278" s="258">
        <v>0</v>
      </c>
      <c r="M278" s="174">
        <f t="shared" si="1"/>
        <v>0</v>
      </c>
      <c r="O278" s="144"/>
      <c r="FH278" s="304"/>
      <c r="FI278" s="304"/>
      <c r="FJ278" s="304"/>
      <c r="FK278" s="304"/>
      <c r="FL278" s="304"/>
      <c r="FM278" s="304"/>
      <c r="FN278" s="304"/>
      <c r="FO278" s="304"/>
      <c r="FP278" s="304"/>
      <c r="FQ278" s="304"/>
      <c r="FR278" s="304"/>
      <c r="FS278" s="304"/>
      <c r="FT278" s="304"/>
      <c r="FU278" s="304"/>
      <c r="FV278" s="304"/>
      <c r="FW278" s="304"/>
      <c r="FX278" s="304"/>
      <c r="FY278" s="304"/>
      <c r="FZ278" s="304"/>
      <c r="GA278" s="304"/>
      <c r="GB278" s="304"/>
      <c r="GC278" s="304"/>
      <c r="GD278" s="304"/>
      <c r="GE278" s="304"/>
      <c r="GF278" s="304"/>
      <c r="GG278" s="304"/>
      <c r="GH278" s="304"/>
      <c r="GI278" s="304"/>
      <c r="GJ278" s="304"/>
      <c r="GK278" s="304"/>
      <c r="GL278" s="304"/>
      <c r="GM278" s="304"/>
      <c r="GN278" s="304"/>
      <c r="GO278" s="304"/>
      <c r="GP278" s="304"/>
      <c r="GQ278" s="304"/>
      <c r="GR278" s="304"/>
      <c r="GS278" s="304"/>
      <c r="GT278" s="304"/>
      <c r="GU278" s="304"/>
      <c r="GV278" s="304"/>
      <c r="GW278" s="304"/>
      <c r="GX278" s="304"/>
      <c r="GY278" s="304"/>
      <c r="GZ278" s="304"/>
      <c r="HA278" s="304"/>
      <c r="HB278" s="304"/>
      <c r="HC278" s="304"/>
      <c r="HD278" s="304"/>
      <c r="HE278" s="304"/>
      <c r="HF278" s="304"/>
      <c r="HG278" s="304"/>
      <c r="HH278" s="304"/>
      <c r="HI278" s="304"/>
      <c r="HJ278" s="304"/>
      <c r="HK278" s="304"/>
      <c r="HL278" s="304"/>
      <c r="HM278" s="304"/>
      <c r="HN278" s="304"/>
      <c r="HO278" s="304"/>
      <c r="HP278" s="304"/>
      <c r="HQ278" s="304"/>
      <c r="HR278" s="304"/>
      <c r="HS278" s="304"/>
      <c r="HT278" s="304"/>
      <c r="HU278" s="304"/>
      <c r="HV278" s="304"/>
      <c r="HW278" s="304"/>
      <c r="HX278" s="304"/>
      <c r="HY278" s="304"/>
      <c r="HZ278" s="304"/>
      <c r="IA278" s="304"/>
      <c r="IB278" s="304"/>
      <c r="IC278" s="304"/>
      <c r="ID278" s="304"/>
      <c r="IE278" s="304"/>
      <c r="IF278" s="304"/>
      <c r="IG278" s="304"/>
      <c r="IH278" s="304"/>
      <c r="II278" s="304"/>
      <c r="IJ278" s="304"/>
      <c r="IK278" s="304"/>
      <c r="IL278" s="304"/>
      <c r="IM278" s="304"/>
      <c r="IN278" s="304"/>
      <c r="IO278" s="304"/>
      <c r="IP278" s="304"/>
      <c r="IQ278" s="304"/>
      <c r="IR278" s="304"/>
      <c r="IS278" s="304"/>
      <c r="IT278" s="304"/>
      <c r="IU278" s="304"/>
      <c r="IV278" s="304"/>
    </row>
    <row r="279" spans="1:256" ht="23.25">
      <c r="A279" s="309" t="s">
        <v>466</v>
      </c>
      <c r="B279" s="294" t="s">
        <v>467</v>
      </c>
      <c r="C279" s="319">
        <f aca="true" t="shared" si="45" ref="C279:C286">+E279/$E$278</f>
        <v>0.14285714285714285</v>
      </c>
      <c r="D279" s="310"/>
      <c r="E279" s="299">
        <v>13000</v>
      </c>
      <c r="F279" s="311"/>
      <c r="G279" s="298">
        <f t="shared" si="29"/>
        <v>1</v>
      </c>
      <c r="H279" s="299">
        <f t="shared" si="42"/>
        <v>13000</v>
      </c>
      <c r="I279" s="299">
        <v>13000</v>
      </c>
      <c r="J279" s="298">
        <f t="shared" si="38"/>
        <v>0</v>
      </c>
      <c r="K279" s="300">
        <v>0</v>
      </c>
      <c r="M279" s="174">
        <f t="shared" si="1"/>
        <v>0</v>
      </c>
      <c r="O279" s="144"/>
      <c r="FH279" s="359"/>
      <c r="FI279" s="359"/>
      <c r="FJ279" s="359"/>
      <c r="FK279" s="359"/>
      <c r="FL279" s="359"/>
      <c r="FM279" s="359"/>
      <c r="FN279" s="359"/>
      <c r="FO279" s="359"/>
      <c r="FP279" s="359"/>
      <c r="FQ279" s="359"/>
      <c r="FR279" s="359"/>
      <c r="FS279" s="359"/>
      <c r="FT279" s="359"/>
      <c r="FU279" s="359"/>
      <c r="FV279" s="359"/>
      <c r="FW279" s="359"/>
      <c r="FX279" s="359"/>
      <c r="FY279" s="359"/>
      <c r="FZ279" s="359"/>
      <c r="GA279" s="359"/>
      <c r="GB279" s="359"/>
      <c r="GC279" s="359"/>
      <c r="GD279" s="359"/>
      <c r="GE279" s="359"/>
      <c r="GF279" s="359"/>
      <c r="GG279" s="359"/>
      <c r="GH279" s="359"/>
      <c r="GI279" s="359"/>
      <c r="GJ279" s="359"/>
      <c r="GK279" s="359"/>
      <c r="GL279" s="359"/>
      <c r="GM279" s="359"/>
      <c r="GN279" s="359"/>
      <c r="GO279" s="359"/>
      <c r="GP279" s="359"/>
      <c r="GQ279" s="359"/>
      <c r="GR279" s="359"/>
      <c r="GS279" s="359"/>
      <c r="GT279" s="359"/>
      <c r="GU279" s="359"/>
      <c r="GV279" s="359"/>
      <c r="GW279" s="359"/>
      <c r="GX279" s="359"/>
      <c r="GY279" s="359"/>
      <c r="GZ279" s="359"/>
      <c r="HA279" s="359"/>
      <c r="HB279" s="359"/>
      <c r="HC279" s="359"/>
      <c r="HD279" s="359"/>
      <c r="HE279" s="359"/>
      <c r="HF279" s="359"/>
      <c r="HG279" s="359"/>
      <c r="HH279" s="359"/>
      <c r="HI279" s="359"/>
      <c r="HJ279" s="359"/>
      <c r="HK279" s="359"/>
      <c r="HL279" s="359"/>
      <c r="HM279" s="359"/>
      <c r="HN279" s="359"/>
      <c r="HO279" s="359"/>
      <c r="HP279" s="359"/>
      <c r="HQ279" s="359"/>
      <c r="HR279" s="359"/>
      <c r="HS279" s="359"/>
      <c r="HT279" s="359"/>
      <c r="HU279" s="359"/>
      <c r="HV279" s="359"/>
      <c r="HW279" s="359"/>
      <c r="HX279" s="359"/>
      <c r="HY279" s="359"/>
      <c r="HZ279" s="359"/>
      <c r="IA279" s="359"/>
      <c r="IB279" s="359"/>
      <c r="IC279" s="359"/>
      <c r="ID279" s="359"/>
      <c r="IE279" s="359"/>
      <c r="IF279" s="359"/>
      <c r="IG279" s="359"/>
      <c r="IH279" s="359"/>
      <c r="II279" s="359"/>
      <c r="IJ279" s="359"/>
      <c r="IK279" s="359"/>
      <c r="IL279" s="359"/>
      <c r="IM279" s="359"/>
      <c r="IN279" s="359"/>
      <c r="IO279" s="359"/>
      <c r="IP279" s="359"/>
      <c r="IQ279" s="359"/>
      <c r="IR279" s="359"/>
      <c r="IS279" s="359"/>
      <c r="IT279" s="359"/>
      <c r="IU279" s="359"/>
      <c r="IV279" s="359"/>
    </row>
    <row r="280" spans="1:256" ht="23.25">
      <c r="A280" s="309" t="s">
        <v>468</v>
      </c>
      <c r="B280" s="294" t="s">
        <v>469</v>
      </c>
      <c r="C280" s="319">
        <f t="shared" si="45"/>
        <v>0.08791208791208792</v>
      </c>
      <c r="D280" s="310"/>
      <c r="E280" s="299">
        <v>8000</v>
      </c>
      <c r="F280" s="311"/>
      <c r="G280" s="298">
        <f t="shared" si="29"/>
        <v>1</v>
      </c>
      <c r="H280" s="299">
        <f t="shared" si="42"/>
        <v>8000</v>
      </c>
      <c r="I280" s="299">
        <v>8000</v>
      </c>
      <c r="J280" s="298">
        <f t="shared" si="38"/>
        <v>0</v>
      </c>
      <c r="K280" s="300">
        <v>0</v>
      </c>
      <c r="M280" s="174">
        <f t="shared" si="1"/>
        <v>0</v>
      </c>
      <c r="O280" s="144"/>
      <c r="FH280" s="359"/>
      <c r="FI280" s="359"/>
      <c r="FJ280" s="359"/>
      <c r="FK280" s="359"/>
      <c r="FL280" s="359"/>
      <c r="FM280" s="359"/>
      <c r="FN280" s="359"/>
      <c r="FO280" s="359"/>
      <c r="FP280" s="359"/>
      <c r="FQ280" s="359"/>
      <c r="FR280" s="359"/>
      <c r="FS280" s="359"/>
      <c r="FT280" s="359"/>
      <c r="FU280" s="359"/>
      <c r="FV280" s="359"/>
      <c r="FW280" s="359"/>
      <c r="FX280" s="359"/>
      <c r="FY280" s="359"/>
      <c r="FZ280" s="359"/>
      <c r="GA280" s="359"/>
      <c r="GB280" s="359"/>
      <c r="GC280" s="359"/>
      <c r="GD280" s="359"/>
      <c r="GE280" s="359"/>
      <c r="GF280" s="359"/>
      <c r="GG280" s="359"/>
      <c r="GH280" s="359"/>
      <c r="GI280" s="359"/>
      <c r="GJ280" s="359"/>
      <c r="GK280" s="359"/>
      <c r="GL280" s="359"/>
      <c r="GM280" s="359"/>
      <c r="GN280" s="359"/>
      <c r="GO280" s="359"/>
      <c r="GP280" s="359"/>
      <c r="GQ280" s="359"/>
      <c r="GR280" s="359"/>
      <c r="GS280" s="359"/>
      <c r="GT280" s="359"/>
      <c r="GU280" s="359"/>
      <c r="GV280" s="359"/>
      <c r="GW280" s="359"/>
      <c r="GX280" s="359"/>
      <c r="GY280" s="359"/>
      <c r="GZ280" s="359"/>
      <c r="HA280" s="359"/>
      <c r="HB280" s="359"/>
      <c r="HC280" s="359"/>
      <c r="HD280" s="359"/>
      <c r="HE280" s="359"/>
      <c r="HF280" s="359"/>
      <c r="HG280" s="359"/>
      <c r="HH280" s="359"/>
      <c r="HI280" s="359"/>
      <c r="HJ280" s="359"/>
      <c r="HK280" s="359"/>
      <c r="HL280" s="359"/>
      <c r="HM280" s="359"/>
      <c r="HN280" s="359"/>
      <c r="HO280" s="359"/>
      <c r="HP280" s="359"/>
      <c r="HQ280" s="359"/>
      <c r="HR280" s="359"/>
      <c r="HS280" s="359"/>
      <c r="HT280" s="359"/>
      <c r="HU280" s="359"/>
      <c r="HV280" s="359"/>
      <c r="HW280" s="359"/>
      <c r="HX280" s="359"/>
      <c r="HY280" s="359"/>
      <c r="HZ280" s="359"/>
      <c r="IA280" s="359"/>
      <c r="IB280" s="359"/>
      <c r="IC280" s="359"/>
      <c r="ID280" s="359"/>
      <c r="IE280" s="359"/>
      <c r="IF280" s="359"/>
      <c r="IG280" s="359"/>
      <c r="IH280" s="359"/>
      <c r="II280" s="359"/>
      <c r="IJ280" s="359"/>
      <c r="IK280" s="359"/>
      <c r="IL280" s="359"/>
      <c r="IM280" s="359"/>
      <c r="IN280" s="359"/>
      <c r="IO280" s="359"/>
      <c r="IP280" s="359"/>
      <c r="IQ280" s="359"/>
      <c r="IR280" s="359"/>
      <c r="IS280" s="359"/>
      <c r="IT280" s="359"/>
      <c r="IU280" s="359"/>
      <c r="IV280" s="359"/>
    </row>
    <row r="281" spans="1:256" ht="23.25">
      <c r="A281" s="309" t="s">
        <v>470</v>
      </c>
      <c r="B281" s="294" t="s">
        <v>471</v>
      </c>
      <c r="C281" s="319">
        <f t="shared" si="45"/>
        <v>0.054945054945054944</v>
      </c>
      <c r="D281" s="310"/>
      <c r="E281" s="299">
        <v>5000</v>
      </c>
      <c r="F281" s="311"/>
      <c r="G281" s="298">
        <f t="shared" si="29"/>
        <v>1</v>
      </c>
      <c r="H281" s="299">
        <f t="shared" si="42"/>
        <v>5000</v>
      </c>
      <c r="I281" s="299">
        <v>5000</v>
      </c>
      <c r="J281" s="298">
        <f t="shared" si="38"/>
        <v>0</v>
      </c>
      <c r="K281" s="300">
        <v>0</v>
      </c>
      <c r="M281" s="174">
        <f t="shared" si="1"/>
        <v>0</v>
      </c>
      <c r="O281" s="144"/>
      <c r="FH281" s="359"/>
      <c r="FI281" s="359"/>
      <c r="FJ281" s="359"/>
      <c r="FK281" s="359"/>
      <c r="FL281" s="359"/>
      <c r="FM281" s="359"/>
      <c r="FN281" s="359"/>
      <c r="FO281" s="359"/>
      <c r="FP281" s="359"/>
      <c r="FQ281" s="359"/>
      <c r="FR281" s="359"/>
      <c r="FS281" s="359"/>
      <c r="FT281" s="359"/>
      <c r="FU281" s="359"/>
      <c r="FV281" s="359"/>
      <c r="FW281" s="359"/>
      <c r="FX281" s="359"/>
      <c r="FY281" s="359"/>
      <c r="FZ281" s="359"/>
      <c r="GA281" s="359"/>
      <c r="GB281" s="359"/>
      <c r="GC281" s="359"/>
      <c r="GD281" s="359"/>
      <c r="GE281" s="359"/>
      <c r="GF281" s="359"/>
      <c r="GG281" s="359"/>
      <c r="GH281" s="359"/>
      <c r="GI281" s="359"/>
      <c r="GJ281" s="359"/>
      <c r="GK281" s="359"/>
      <c r="GL281" s="359"/>
      <c r="GM281" s="359"/>
      <c r="GN281" s="359"/>
      <c r="GO281" s="359"/>
      <c r="GP281" s="359"/>
      <c r="GQ281" s="359"/>
      <c r="GR281" s="359"/>
      <c r="GS281" s="359"/>
      <c r="GT281" s="359"/>
      <c r="GU281" s="359"/>
      <c r="GV281" s="359"/>
      <c r="GW281" s="359"/>
      <c r="GX281" s="359"/>
      <c r="GY281" s="359"/>
      <c r="GZ281" s="359"/>
      <c r="HA281" s="359"/>
      <c r="HB281" s="359"/>
      <c r="HC281" s="359"/>
      <c r="HD281" s="359"/>
      <c r="HE281" s="359"/>
      <c r="HF281" s="359"/>
      <c r="HG281" s="359"/>
      <c r="HH281" s="359"/>
      <c r="HI281" s="359"/>
      <c r="HJ281" s="359"/>
      <c r="HK281" s="359"/>
      <c r="HL281" s="359"/>
      <c r="HM281" s="359"/>
      <c r="HN281" s="359"/>
      <c r="HO281" s="359"/>
      <c r="HP281" s="359"/>
      <c r="HQ281" s="359"/>
      <c r="HR281" s="359"/>
      <c r="HS281" s="359"/>
      <c r="HT281" s="359"/>
      <c r="HU281" s="359"/>
      <c r="HV281" s="359"/>
      <c r="HW281" s="359"/>
      <c r="HX281" s="359"/>
      <c r="HY281" s="359"/>
      <c r="HZ281" s="359"/>
      <c r="IA281" s="359"/>
      <c r="IB281" s="359"/>
      <c r="IC281" s="359"/>
      <c r="ID281" s="359"/>
      <c r="IE281" s="359"/>
      <c r="IF281" s="359"/>
      <c r="IG281" s="359"/>
      <c r="IH281" s="359"/>
      <c r="II281" s="359"/>
      <c r="IJ281" s="359"/>
      <c r="IK281" s="359"/>
      <c r="IL281" s="359"/>
      <c r="IM281" s="359"/>
      <c r="IN281" s="359"/>
      <c r="IO281" s="359"/>
      <c r="IP281" s="359"/>
      <c r="IQ281" s="359"/>
      <c r="IR281" s="359"/>
      <c r="IS281" s="359"/>
      <c r="IT281" s="359"/>
      <c r="IU281" s="359"/>
      <c r="IV281" s="359"/>
    </row>
    <row r="282" spans="1:256" ht="23.25">
      <c r="A282" s="309" t="s">
        <v>472</v>
      </c>
      <c r="B282" s="294" t="s">
        <v>473</v>
      </c>
      <c r="C282" s="319">
        <f t="shared" si="45"/>
        <v>0.08791208791208792</v>
      </c>
      <c r="D282" s="310"/>
      <c r="E282" s="299">
        <v>8000</v>
      </c>
      <c r="F282" s="311"/>
      <c r="G282" s="298">
        <f t="shared" si="29"/>
        <v>1</v>
      </c>
      <c r="H282" s="299">
        <f t="shared" si="42"/>
        <v>8000</v>
      </c>
      <c r="I282" s="299">
        <v>8000</v>
      </c>
      <c r="J282" s="298">
        <f t="shared" si="38"/>
        <v>0</v>
      </c>
      <c r="K282" s="300">
        <v>0</v>
      </c>
      <c r="M282" s="174">
        <f t="shared" si="1"/>
        <v>0</v>
      </c>
      <c r="O282" s="144"/>
      <c r="FH282" s="359"/>
      <c r="FI282" s="359"/>
      <c r="FJ282" s="359"/>
      <c r="FK282" s="359"/>
      <c r="FL282" s="359"/>
      <c r="FM282" s="359"/>
      <c r="FN282" s="359"/>
      <c r="FO282" s="359"/>
      <c r="FP282" s="359"/>
      <c r="FQ282" s="359"/>
      <c r="FR282" s="359"/>
      <c r="FS282" s="359"/>
      <c r="FT282" s="359"/>
      <c r="FU282" s="359"/>
      <c r="FV282" s="359"/>
      <c r="FW282" s="359"/>
      <c r="FX282" s="359"/>
      <c r="FY282" s="359"/>
      <c r="FZ282" s="359"/>
      <c r="GA282" s="359"/>
      <c r="GB282" s="359"/>
      <c r="GC282" s="359"/>
      <c r="GD282" s="359"/>
      <c r="GE282" s="359"/>
      <c r="GF282" s="359"/>
      <c r="GG282" s="359"/>
      <c r="GH282" s="359"/>
      <c r="GI282" s="359"/>
      <c r="GJ282" s="359"/>
      <c r="GK282" s="359"/>
      <c r="GL282" s="359"/>
      <c r="GM282" s="359"/>
      <c r="GN282" s="359"/>
      <c r="GO282" s="359"/>
      <c r="GP282" s="359"/>
      <c r="GQ282" s="359"/>
      <c r="GR282" s="359"/>
      <c r="GS282" s="359"/>
      <c r="GT282" s="359"/>
      <c r="GU282" s="359"/>
      <c r="GV282" s="359"/>
      <c r="GW282" s="359"/>
      <c r="GX282" s="359"/>
      <c r="GY282" s="359"/>
      <c r="GZ282" s="359"/>
      <c r="HA282" s="359"/>
      <c r="HB282" s="359"/>
      <c r="HC282" s="359"/>
      <c r="HD282" s="359"/>
      <c r="HE282" s="359"/>
      <c r="HF282" s="359"/>
      <c r="HG282" s="359"/>
      <c r="HH282" s="359"/>
      <c r="HI282" s="359"/>
      <c r="HJ282" s="359"/>
      <c r="HK282" s="359"/>
      <c r="HL282" s="359"/>
      <c r="HM282" s="359"/>
      <c r="HN282" s="359"/>
      <c r="HO282" s="359"/>
      <c r="HP282" s="359"/>
      <c r="HQ282" s="359"/>
      <c r="HR282" s="359"/>
      <c r="HS282" s="359"/>
      <c r="HT282" s="359"/>
      <c r="HU282" s="359"/>
      <c r="HV282" s="359"/>
      <c r="HW282" s="359"/>
      <c r="HX282" s="359"/>
      <c r="HY282" s="359"/>
      <c r="HZ282" s="359"/>
      <c r="IA282" s="359"/>
      <c r="IB282" s="359"/>
      <c r="IC282" s="359"/>
      <c r="ID282" s="359"/>
      <c r="IE282" s="359"/>
      <c r="IF282" s="359"/>
      <c r="IG282" s="359"/>
      <c r="IH282" s="359"/>
      <c r="II282" s="359"/>
      <c r="IJ282" s="359"/>
      <c r="IK282" s="359"/>
      <c r="IL282" s="359"/>
      <c r="IM282" s="359"/>
      <c r="IN282" s="359"/>
      <c r="IO282" s="359"/>
      <c r="IP282" s="359"/>
      <c r="IQ282" s="359"/>
      <c r="IR282" s="359"/>
      <c r="IS282" s="359"/>
      <c r="IT282" s="359"/>
      <c r="IU282" s="359"/>
      <c r="IV282" s="359"/>
    </row>
    <row r="283" spans="1:256" ht="23.25">
      <c r="A283" s="309" t="s">
        <v>474</v>
      </c>
      <c r="B283" s="294" t="s">
        <v>475</v>
      </c>
      <c r="C283" s="319">
        <f t="shared" si="45"/>
        <v>0.0989010989010989</v>
      </c>
      <c r="D283" s="310"/>
      <c r="E283" s="299">
        <v>9000</v>
      </c>
      <c r="F283" s="311"/>
      <c r="G283" s="298">
        <f t="shared" si="29"/>
        <v>1</v>
      </c>
      <c r="H283" s="299">
        <f t="shared" si="42"/>
        <v>9000</v>
      </c>
      <c r="I283" s="299">
        <v>9000</v>
      </c>
      <c r="J283" s="298">
        <f t="shared" si="38"/>
        <v>0</v>
      </c>
      <c r="K283" s="300">
        <v>0</v>
      </c>
      <c r="M283" s="174">
        <f t="shared" si="1"/>
        <v>0</v>
      </c>
      <c r="O283" s="144"/>
      <c r="FH283" s="359"/>
      <c r="FI283" s="359"/>
      <c r="FJ283" s="359"/>
      <c r="FK283" s="359"/>
      <c r="FL283" s="359"/>
      <c r="FM283" s="359"/>
      <c r="FN283" s="359"/>
      <c r="FO283" s="359"/>
      <c r="FP283" s="359"/>
      <c r="FQ283" s="359"/>
      <c r="FR283" s="359"/>
      <c r="FS283" s="359"/>
      <c r="FT283" s="359"/>
      <c r="FU283" s="359"/>
      <c r="FV283" s="359"/>
      <c r="FW283" s="359"/>
      <c r="FX283" s="359"/>
      <c r="FY283" s="359"/>
      <c r="FZ283" s="359"/>
      <c r="GA283" s="359"/>
      <c r="GB283" s="359"/>
      <c r="GC283" s="359"/>
      <c r="GD283" s="359"/>
      <c r="GE283" s="359"/>
      <c r="GF283" s="359"/>
      <c r="GG283" s="359"/>
      <c r="GH283" s="359"/>
      <c r="GI283" s="359"/>
      <c r="GJ283" s="359"/>
      <c r="GK283" s="359"/>
      <c r="GL283" s="359"/>
      <c r="GM283" s="359"/>
      <c r="GN283" s="359"/>
      <c r="GO283" s="359"/>
      <c r="GP283" s="359"/>
      <c r="GQ283" s="359"/>
      <c r="GR283" s="359"/>
      <c r="GS283" s="359"/>
      <c r="GT283" s="359"/>
      <c r="GU283" s="359"/>
      <c r="GV283" s="359"/>
      <c r="GW283" s="359"/>
      <c r="GX283" s="359"/>
      <c r="GY283" s="359"/>
      <c r="GZ283" s="359"/>
      <c r="HA283" s="359"/>
      <c r="HB283" s="359"/>
      <c r="HC283" s="359"/>
      <c r="HD283" s="359"/>
      <c r="HE283" s="359"/>
      <c r="HF283" s="359"/>
      <c r="HG283" s="359"/>
      <c r="HH283" s="359"/>
      <c r="HI283" s="359"/>
      <c r="HJ283" s="359"/>
      <c r="HK283" s="359"/>
      <c r="HL283" s="359"/>
      <c r="HM283" s="359"/>
      <c r="HN283" s="359"/>
      <c r="HO283" s="359"/>
      <c r="HP283" s="359"/>
      <c r="HQ283" s="359"/>
      <c r="HR283" s="359"/>
      <c r="HS283" s="359"/>
      <c r="HT283" s="359"/>
      <c r="HU283" s="359"/>
      <c r="HV283" s="359"/>
      <c r="HW283" s="359"/>
      <c r="HX283" s="359"/>
      <c r="HY283" s="359"/>
      <c r="HZ283" s="359"/>
      <c r="IA283" s="359"/>
      <c r="IB283" s="359"/>
      <c r="IC283" s="359"/>
      <c r="ID283" s="359"/>
      <c r="IE283" s="359"/>
      <c r="IF283" s="359"/>
      <c r="IG283" s="359"/>
      <c r="IH283" s="359"/>
      <c r="II283" s="359"/>
      <c r="IJ283" s="359"/>
      <c r="IK283" s="359"/>
      <c r="IL283" s="359"/>
      <c r="IM283" s="359"/>
      <c r="IN283" s="359"/>
      <c r="IO283" s="359"/>
      <c r="IP283" s="359"/>
      <c r="IQ283" s="359"/>
      <c r="IR283" s="359"/>
      <c r="IS283" s="359"/>
      <c r="IT283" s="359"/>
      <c r="IU283" s="359"/>
      <c r="IV283" s="359"/>
    </row>
    <row r="284" spans="1:256" ht="23.25">
      <c r="A284" s="309" t="s">
        <v>476</v>
      </c>
      <c r="B284" s="294" t="s">
        <v>477</v>
      </c>
      <c r="C284" s="319">
        <f t="shared" si="45"/>
        <v>0.32967032967032966</v>
      </c>
      <c r="D284" s="310"/>
      <c r="E284" s="299">
        <v>30000</v>
      </c>
      <c r="F284" s="311"/>
      <c r="G284" s="298">
        <f t="shared" si="29"/>
        <v>1</v>
      </c>
      <c r="H284" s="299">
        <f t="shared" si="42"/>
        <v>30000</v>
      </c>
      <c r="I284" s="299">
        <v>30000</v>
      </c>
      <c r="J284" s="298">
        <f t="shared" si="38"/>
        <v>0</v>
      </c>
      <c r="K284" s="300">
        <v>0</v>
      </c>
      <c r="M284" s="174">
        <f t="shared" si="1"/>
        <v>0</v>
      </c>
      <c r="O284" s="144"/>
      <c r="FH284" s="359"/>
      <c r="FI284" s="359"/>
      <c r="FJ284" s="359"/>
      <c r="FK284" s="359"/>
      <c r="FL284" s="359"/>
      <c r="FM284" s="359"/>
      <c r="FN284" s="359"/>
      <c r="FO284" s="359"/>
      <c r="FP284" s="359"/>
      <c r="FQ284" s="359"/>
      <c r="FR284" s="359"/>
      <c r="FS284" s="359"/>
      <c r="FT284" s="359"/>
      <c r="FU284" s="359"/>
      <c r="FV284" s="359"/>
      <c r="FW284" s="359"/>
      <c r="FX284" s="359"/>
      <c r="FY284" s="359"/>
      <c r="FZ284" s="359"/>
      <c r="GA284" s="359"/>
      <c r="GB284" s="359"/>
      <c r="GC284" s="359"/>
      <c r="GD284" s="359"/>
      <c r="GE284" s="359"/>
      <c r="GF284" s="359"/>
      <c r="GG284" s="359"/>
      <c r="GH284" s="359"/>
      <c r="GI284" s="359"/>
      <c r="GJ284" s="359"/>
      <c r="GK284" s="359"/>
      <c r="GL284" s="359"/>
      <c r="GM284" s="359"/>
      <c r="GN284" s="359"/>
      <c r="GO284" s="359"/>
      <c r="GP284" s="359"/>
      <c r="GQ284" s="359"/>
      <c r="GR284" s="359"/>
      <c r="GS284" s="359"/>
      <c r="GT284" s="359"/>
      <c r="GU284" s="359"/>
      <c r="GV284" s="359"/>
      <c r="GW284" s="359"/>
      <c r="GX284" s="359"/>
      <c r="GY284" s="359"/>
      <c r="GZ284" s="359"/>
      <c r="HA284" s="359"/>
      <c r="HB284" s="359"/>
      <c r="HC284" s="359"/>
      <c r="HD284" s="359"/>
      <c r="HE284" s="359"/>
      <c r="HF284" s="359"/>
      <c r="HG284" s="359"/>
      <c r="HH284" s="359"/>
      <c r="HI284" s="359"/>
      <c r="HJ284" s="359"/>
      <c r="HK284" s="359"/>
      <c r="HL284" s="359"/>
      <c r="HM284" s="359"/>
      <c r="HN284" s="359"/>
      <c r="HO284" s="359"/>
      <c r="HP284" s="359"/>
      <c r="HQ284" s="359"/>
      <c r="HR284" s="359"/>
      <c r="HS284" s="359"/>
      <c r="HT284" s="359"/>
      <c r="HU284" s="359"/>
      <c r="HV284" s="359"/>
      <c r="HW284" s="359"/>
      <c r="HX284" s="359"/>
      <c r="HY284" s="359"/>
      <c r="HZ284" s="359"/>
      <c r="IA284" s="359"/>
      <c r="IB284" s="359"/>
      <c r="IC284" s="359"/>
      <c r="ID284" s="359"/>
      <c r="IE284" s="359"/>
      <c r="IF284" s="359"/>
      <c r="IG284" s="359"/>
      <c r="IH284" s="359"/>
      <c r="II284" s="359"/>
      <c r="IJ284" s="359"/>
      <c r="IK284" s="359"/>
      <c r="IL284" s="359"/>
      <c r="IM284" s="359"/>
      <c r="IN284" s="359"/>
      <c r="IO284" s="359"/>
      <c r="IP284" s="359"/>
      <c r="IQ284" s="359"/>
      <c r="IR284" s="359"/>
      <c r="IS284" s="359"/>
      <c r="IT284" s="359"/>
      <c r="IU284" s="359"/>
      <c r="IV284" s="359"/>
    </row>
    <row r="285" spans="1:256" ht="23.25">
      <c r="A285" s="309" t="s">
        <v>478</v>
      </c>
      <c r="B285" s="294" t="s">
        <v>479</v>
      </c>
      <c r="C285" s="319">
        <f t="shared" si="45"/>
        <v>0.12087912087912088</v>
      </c>
      <c r="D285" s="310"/>
      <c r="E285" s="299">
        <v>11000</v>
      </c>
      <c r="F285" s="311"/>
      <c r="G285" s="298">
        <f t="shared" si="29"/>
        <v>1</v>
      </c>
      <c r="H285" s="299">
        <f t="shared" si="42"/>
        <v>11000</v>
      </c>
      <c r="I285" s="299">
        <v>11000</v>
      </c>
      <c r="J285" s="298">
        <f t="shared" si="38"/>
        <v>0</v>
      </c>
      <c r="K285" s="300">
        <v>0</v>
      </c>
      <c r="M285" s="174">
        <f t="shared" si="1"/>
        <v>0</v>
      </c>
      <c r="O285" s="144"/>
      <c r="FH285" s="359"/>
      <c r="FI285" s="359"/>
      <c r="FJ285" s="359"/>
      <c r="FK285" s="359"/>
      <c r="FL285" s="359"/>
      <c r="FM285" s="359"/>
      <c r="FN285" s="359"/>
      <c r="FO285" s="359"/>
      <c r="FP285" s="359"/>
      <c r="FQ285" s="359"/>
      <c r="FR285" s="359"/>
      <c r="FS285" s="359"/>
      <c r="FT285" s="359"/>
      <c r="FU285" s="359"/>
      <c r="FV285" s="359"/>
      <c r="FW285" s="359"/>
      <c r="FX285" s="359"/>
      <c r="FY285" s="359"/>
      <c r="FZ285" s="359"/>
      <c r="GA285" s="359"/>
      <c r="GB285" s="359"/>
      <c r="GC285" s="359"/>
      <c r="GD285" s="359"/>
      <c r="GE285" s="359"/>
      <c r="GF285" s="359"/>
      <c r="GG285" s="359"/>
      <c r="GH285" s="359"/>
      <c r="GI285" s="359"/>
      <c r="GJ285" s="359"/>
      <c r="GK285" s="359"/>
      <c r="GL285" s="359"/>
      <c r="GM285" s="359"/>
      <c r="GN285" s="359"/>
      <c r="GO285" s="359"/>
      <c r="GP285" s="359"/>
      <c r="GQ285" s="359"/>
      <c r="GR285" s="359"/>
      <c r="GS285" s="359"/>
      <c r="GT285" s="359"/>
      <c r="GU285" s="359"/>
      <c r="GV285" s="359"/>
      <c r="GW285" s="359"/>
      <c r="GX285" s="359"/>
      <c r="GY285" s="359"/>
      <c r="GZ285" s="359"/>
      <c r="HA285" s="359"/>
      <c r="HB285" s="359"/>
      <c r="HC285" s="359"/>
      <c r="HD285" s="359"/>
      <c r="HE285" s="359"/>
      <c r="HF285" s="359"/>
      <c r="HG285" s="359"/>
      <c r="HH285" s="359"/>
      <c r="HI285" s="359"/>
      <c r="HJ285" s="359"/>
      <c r="HK285" s="359"/>
      <c r="HL285" s="359"/>
      <c r="HM285" s="359"/>
      <c r="HN285" s="359"/>
      <c r="HO285" s="359"/>
      <c r="HP285" s="359"/>
      <c r="HQ285" s="359"/>
      <c r="HR285" s="359"/>
      <c r="HS285" s="359"/>
      <c r="HT285" s="359"/>
      <c r="HU285" s="359"/>
      <c r="HV285" s="359"/>
      <c r="HW285" s="359"/>
      <c r="HX285" s="359"/>
      <c r="HY285" s="359"/>
      <c r="HZ285" s="359"/>
      <c r="IA285" s="359"/>
      <c r="IB285" s="359"/>
      <c r="IC285" s="359"/>
      <c r="ID285" s="359"/>
      <c r="IE285" s="359"/>
      <c r="IF285" s="359"/>
      <c r="IG285" s="359"/>
      <c r="IH285" s="359"/>
      <c r="II285" s="359"/>
      <c r="IJ285" s="359"/>
      <c r="IK285" s="359"/>
      <c r="IL285" s="359"/>
      <c r="IM285" s="359"/>
      <c r="IN285" s="359"/>
      <c r="IO285" s="359"/>
      <c r="IP285" s="359"/>
      <c r="IQ285" s="359"/>
      <c r="IR285" s="359"/>
      <c r="IS285" s="359"/>
      <c r="IT285" s="359"/>
      <c r="IU285" s="359"/>
      <c r="IV285" s="359"/>
    </row>
    <row r="286" spans="1:256" ht="23.25">
      <c r="A286" s="393" t="s">
        <v>480</v>
      </c>
      <c r="B286" s="394" t="s">
        <v>481</v>
      </c>
      <c r="C286" s="319">
        <f t="shared" si="45"/>
        <v>0.07692307692307693</v>
      </c>
      <c r="D286" s="395"/>
      <c r="E286" s="362">
        <v>7000</v>
      </c>
      <c r="F286" s="396"/>
      <c r="G286" s="298">
        <f t="shared" si="29"/>
        <v>1</v>
      </c>
      <c r="H286" s="299">
        <f t="shared" si="42"/>
        <v>7000</v>
      </c>
      <c r="I286" s="299">
        <v>7000</v>
      </c>
      <c r="J286" s="298">
        <f t="shared" si="38"/>
        <v>0</v>
      </c>
      <c r="K286" s="300">
        <v>0</v>
      </c>
      <c r="M286" s="174">
        <f t="shared" si="1"/>
        <v>0</v>
      </c>
      <c r="O286" s="144"/>
      <c r="FH286" s="359"/>
      <c r="FI286" s="359"/>
      <c r="FJ286" s="359"/>
      <c r="FK286" s="359"/>
      <c r="FL286" s="359"/>
      <c r="FM286" s="359"/>
      <c r="FN286" s="359"/>
      <c r="FO286" s="359"/>
      <c r="FP286" s="359"/>
      <c r="FQ286" s="359"/>
      <c r="FR286" s="359"/>
      <c r="FS286" s="359"/>
      <c r="FT286" s="359"/>
      <c r="FU286" s="359"/>
      <c r="FV286" s="359"/>
      <c r="FW286" s="359"/>
      <c r="FX286" s="359"/>
      <c r="FY286" s="359"/>
      <c r="FZ286" s="359"/>
      <c r="GA286" s="359"/>
      <c r="GB286" s="359"/>
      <c r="GC286" s="359"/>
      <c r="GD286" s="359"/>
      <c r="GE286" s="359"/>
      <c r="GF286" s="359"/>
      <c r="GG286" s="359"/>
      <c r="GH286" s="359"/>
      <c r="GI286" s="359"/>
      <c r="GJ286" s="359"/>
      <c r="GK286" s="359"/>
      <c r="GL286" s="359"/>
      <c r="GM286" s="359"/>
      <c r="GN286" s="359"/>
      <c r="GO286" s="359"/>
      <c r="GP286" s="359"/>
      <c r="GQ286" s="359"/>
      <c r="GR286" s="359"/>
      <c r="GS286" s="359"/>
      <c r="GT286" s="359"/>
      <c r="GU286" s="359"/>
      <c r="GV286" s="359"/>
      <c r="GW286" s="359"/>
      <c r="GX286" s="359"/>
      <c r="GY286" s="359"/>
      <c r="GZ286" s="359"/>
      <c r="HA286" s="359"/>
      <c r="HB286" s="359"/>
      <c r="HC286" s="359"/>
      <c r="HD286" s="359"/>
      <c r="HE286" s="359"/>
      <c r="HF286" s="359"/>
      <c r="HG286" s="359"/>
      <c r="HH286" s="359"/>
      <c r="HI286" s="359"/>
      <c r="HJ286" s="359"/>
      <c r="HK286" s="359"/>
      <c r="HL286" s="359"/>
      <c r="HM286" s="359"/>
      <c r="HN286" s="359"/>
      <c r="HO286" s="359"/>
      <c r="HP286" s="359"/>
      <c r="HQ286" s="359"/>
      <c r="HR286" s="359"/>
      <c r="HS286" s="359"/>
      <c r="HT286" s="359"/>
      <c r="HU286" s="359"/>
      <c r="HV286" s="359"/>
      <c r="HW286" s="359"/>
      <c r="HX286" s="359"/>
      <c r="HY286" s="359"/>
      <c r="HZ286" s="359"/>
      <c r="IA286" s="359"/>
      <c r="IB286" s="359"/>
      <c r="IC286" s="359"/>
      <c r="ID286" s="359"/>
      <c r="IE286" s="359"/>
      <c r="IF286" s="359"/>
      <c r="IG286" s="359"/>
      <c r="IH286" s="359"/>
      <c r="II286" s="359"/>
      <c r="IJ286" s="359"/>
      <c r="IK286" s="359"/>
      <c r="IL286" s="359"/>
      <c r="IM286" s="359"/>
      <c r="IN286" s="359"/>
      <c r="IO286" s="359"/>
      <c r="IP286" s="359"/>
      <c r="IQ286" s="359"/>
      <c r="IR286" s="359"/>
      <c r="IS286" s="359"/>
      <c r="IT286" s="359"/>
      <c r="IU286" s="359"/>
      <c r="IV286" s="359"/>
    </row>
    <row r="287" spans="1:15" ht="43.5">
      <c r="A287" s="397">
        <v>6</v>
      </c>
      <c r="B287" s="398" t="s">
        <v>482</v>
      </c>
      <c r="C287" s="399">
        <v>0.04</v>
      </c>
      <c r="D287" s="400">
        <v>166844</v>
      </c>
      <c r="E287" s="401">
        <f>$E$167*C287</f>
        <v>166844</v>
      </c>
      <c r="F287" s="402">
        <f>SUM(E288:E298)</f>
        <v>181344</v>
      </c>
      <c r="G287" s="403">
        <f t="shared" si="29"/>
        <v>1</v>
      </c>
      <c r="H287" s="401">
        <f>+H288+H289+H290+H293+H294+H295+H296+H297+H298</f>
        <v>166844</v>
      </c>
      <c r="I287" s="401">
        <f>+I288+I289+I290+I293+I294+I295+I296+I297+I298</f>
        <v>166844</v>
      </c>
      <c r="J287" s="403">
        <f t="shared" si="38"/>
        <v>0</v>
      </c>
      <c r="K287" s="404">
        <f>SUM(K288:K290,K293:K298)</f>
        <v>0</v>
      </c>
      <c r="M287" s="174">
        <f t="shared" si="1"/>
        <v>0</v>
      </c>
      <c r="O287" s="144"/>
    </row>
    <row r="288" spans="1:256" ht="23.25">
      <c r="A288" s="251" t="s">
        <v>483</v>
      </c>
      <c r="B288" s="252" t="s">
        <v>407</v>
      </c>
      <c r="C288" s="253">
        <f aca="true" t="shared" si="46" ref="C288:C290">+E288/$E$287</f>
        <v>0.04794898228285105</v>
      </c>
      <c r="D288" s="254">
        <v>25026</v>
      </c>
      <c r="E288" s="257">
        <v>8000</v>
      </c>
      <c r="F288" s="255"/>
      <c r="G288" s="256">
        <f t="shared" si="29"/>
        <v>1</v>
      </c>
      <c r="H288" s="257">
        <f aca="true" t="shared" si="47" ref="H288:H299">+I288+K288</f>
        <v>8000</v>
      </c>
      <c r="I288" s="257">
        <v>8000</v>
      </c>
      <c r="J288" s="256">
        <f t="shared" si="38"/>
        <v>0</v>
      </c>
      <c r="K288" s="258">
        <v>0</v>
      </c>
      <c r="M288" s="174">
        <f t="shared" si="1"/>
        <v>0</v>
      </c>
      <c r="O288" s="144"/>
      <c r="FH288" s="312"/>
      <c r="FI288" s="313"/>
      <c r="FJ288" s="313"/>
      <c r="FK288" s="313"/>
      <c r="FL288" s="313"/>
      <c r="FM288" s="313"/>
      <c r="FN288" s="313"/>
      <c r="FO288" s="313"/>
      <c r="FP288" s="313"/>
      <c r="FQ288" s="313"/>
      <c r="FR288" s="313"/>
      <c r="FS288" s="313"/>
      <c r="FT288" s="313"/>
      <c r="FU288" s="313"/>
      <c r="FV288" s="313"/>
      <c r="FW288" s="313"/>
      <c r="FX288" s="313"/>
      <c r="FY288" s="313"/>
      <c r="FZ288" s="313"/>
      <c r="GA288" s="313"/>
      <c r="GB288" s="313"/>
      <c r="GC288" s="313"/>
      <c r="GD288" s="313"/>
      <c r="GE288" s="313"/>
      <c r="GF288" s="313"/>
      <c r="GG288" s="313"/>
      <c r="GH288" s="313"/>
      <c r="GI288" s="313"/>
      <c r="GJ288" s="313"/>
      <c r="GK288" s="313"/>
      <c r="GL288" s="313"/>
      <c r="GM288" s="313"/>
      <c r="GN288" s="313"/>
      <c r="GO288" s="313"/>
      <c r="GP288" s="313"/>
      <c r="GQ288" s="313"/>
      <c r="GR288" s="313"/>
      <c r="GS288" s="313"/>
      <c r="GT288" s="313"/>
      <c r="GU288" s="313"/>
      <c r="GV288" s="313"/>
      <c r="GW288" s="313"/>
      <c r="GX288" s="313"/>
      <c r="GY288" s="313"/>
      <c r="GZ288" s="313"/>
      <c r="HA288" s="313"/>
      <c r="HB288" s="313"/>
      <c r="HC288" s="313"/>
      <c r="HD288" s="313"/>
      <c r="HE288" s="313"/>
      <c r="HF288" s="313"/>
      <c r="HG288" s="313"/>
      <c r="HH288" s="313"/>
      <c r="HI288" s="313"/>
      <c r="HJ288" s="313"/>
      <c r="HK288" s="313"/>
      <c r="HL288" s="313"/>
      <c r="HM288" s="313"/>
      <c r="HN288" s="313"/>
      <c r="HO288" s="313"/>
      <c r="HP288" s="313"/>
      <c r="HQ288" s="313"/>
      <c r="HR288" s="313"/>
      <c r="HS288" s="313"/>
      <c r="HT288" s="313"/>
      <c r="HU288" s="313"/>
      <c r="HV288" s="313"/>
      <c r="HW288" s="313"/>
      <c r="HX288" s="313"/>
      <c r="HY288" s="313"/>
      <c r="HZ288" s="313"/>
      <c r="IA288" s="313"/>
      <c r="IB288" s="313"/>
      <c r="IC288" s="313"/>
      <c r="ID288" s="313"/>
      <c r="IE288" s="313"/>
      <c r="IF288" s="313"/>
      <c r="IG288" s="313"/>
      <c r="IH288" s="313"/>
      <c r="II288" s="313"/>
      <c r="IJ288" s="313"/>
      <c r="IK288" s="313"/>
      <c r="IL288" s="313"/>
      <c r="IM288" s="313"/>
      <c r="IN288" s="313"/>
      <c r="IO288" s="313"/>
      <c r="IP288" s="313"/>
      <c r="IQ288" s="313"/>
      <c r="IR288" s="313"/>
      <c r="IS288" s="313"/>
      <c r="IT288" s="313"/>
      <c r="IU288" s="313"/>
      <c r="IV288" s="313"/>
    </row>
    <row r="289" spans="1:256" ht="23.25">
      <c r="A289" s="251" t="s">
        <v>484</v>
      </c>
      <c r="B289" s="252" t="s">
        <v>438</v>
      </c>
      <c r="C289" s="253">
        <f t="shared" si="46"/>
        <v>0.07192347342427657</v>
      </c>
      <c r="D289" s="254"/>
      <c r="E289" s="257">
        <v>12000</v>
      </c>
      <c r="F289" s="255"/>
      <c r="G289" s="256">
        <f t="shared" si="29"/>
        <v>1</v>
      </c>
      <c r="H289" s="257">
        <f t="shared" si="47"/>
        <v>12000</v>
      </c>
      <c r="I289" s="257">
        <v>12000</v>
      </c>
      <c r="J289" s="256">
        <f t="shared" si="38"/>
        <v>0</v>
      </c>
      <c r="K289" s="258">
        <v>0</v>
      </c>
      <c r="M289" s="174">
        <f t="shared" si="1"/>
        <v>0</v>
      </c>
      <c r="O289" s="144"/>
      <c r="FH289" s="312"/>
      <c r="FI289" s="313"/>
      <c r="FJ289" s="313"/>
      <c r="FK289" s="313"/>
      <c r="FL289" s="313"/>
      <c r="FM289" s="313"/>
      <c r="FN289" s="313"/>
      <c r="FO289" s="313"/>
      <c r="FP289" s="313"/>
      <c r="FQ289" s="313"/>
      <c r="FR289" s="313"/>
      <c r="FS289" s="313"/>
      <c r="FT289" s="313"/>
      <c r="FU289" s="313"/>
      <c r="FV289" s="313"/>
      <c r="FW289" s="313"/>
      <c r="FX289" s="313"/>
      <c r="FY289" s="313"/>
      <c r="FZ289" s="313"/>
      <c r="GA289" s="313"/>
      <c r="GB289" s="313"/>
      <c r="GC289" s="313"/>
      <c r="GD289" s="313"/>
      <c r="GE289" s="313"/>
      <c r="GF289" s="313"/>
      <c r="GG289" s="313"/>
      <c r="GH289" s="313"/>
      <c r="GI289" s="313"/>
      <c r="GJ289" s="313"/>
      <c r="GK289" s="313"/>
      <c r="GL289" s="313"/>
      <c r="GM289" s="313"/>
      <c r="GN289" s="313"/>
      <c r="GO289" s="313"/>
      <c r="GP289" s="313"/>
      <c r="GQ289" s="313"/>
      <c r="GR289" s="313"/>
      <c r="GS289" s="313"/>
      <c r="GT289" s="313"/>
      <c r="GU289" s="313"/>
      <c r="GV289" s="313"/>
      <c r="GW289" s="313"/>
      <c r="GX289" s="313"/>
      <c r="GY289" s="313"/>
      <c r="GZ289" s="313"/>
      <c r="HA289" s="313"/>
      <c r="HB289" s="313"/>
      <c r="HC289" s="313"/>
      <c r="HD289" s="313"/>
      <c r="HE289" s="313"/>
      <c r="HF289" s="313"/>
      <c r="HG289" s="313"/>
      <c r="HH289" s="313"/>
      <c r="HI289" s="313"/>
      <c r="HJ289" s="313"/>
      <c r="HK289" s="313"/>
      <c r="HL289" s="313"/>
      <c r="HM289" s="313"/>
      <c r="HN289" s="313"/>
      <c r="HO289" s="313"/>
      <c r="HP289" s="313"/>
      <c r="HQ289" s="313"/>
      <c r="HR289" s="313"/>
      <c r="HS289" s="313"/>
      <c r="HT289" s="313"/>
      <c r="HU289" s="313"/>
      <c r="HV289" s="313"/>
      <c r="HW289" s="313"/>
      <c r="HX289" s="313"/>
      <c r="HY289" s="313"/>
      <c r="HZ289" s="313"/>
      <c r="IA289" s="313"/>
      <c r="IB289" s="313"/>
      <c r="IC289" s="313"/>
      <c r="ID289" s="313"/>
      <c r="IE289" s="313"/>
      <c r="IF289" s="313"/>
      <c r="IG289" s="313"/>
      <c r="IH289" s="313"/>
      <c r="II289" s="313"/>
      <c r="IJ289" s="313"/>
      <c r="IK289" s="313"/>
      <c r="IL289" s="313"/>
      <c r="IM289" s="313"/>
      <c r="IN289" s="313"/>
      <c r="IO289" s="313"/>
      <c r="IP289" s="313"/>
      <c r="IQ289" s="313"/>
      <c r="IR289" s="313"/>
      <c r="IS289" s="313"/>
      <c r="IT289" s="313"/>
      <c r="IU289" s="313"/>
      <c r="IV289" s="313"/>
    </row>
    <row r="290" spans="1:256" ht="23.25">
      <c r="A290" s="251" t="s">
        <v>485</v>
      </c>
      <c r="B290" s="252" t="s">
        <v>815</v>
      </c>
      <c r="C290" s="253">
        <f t="shared" si="46"/>
        <v>0.08690753038766752</v>
      </c>
      <c r="D290" s="254"/>
      <c r="E290" s="257">
        <f>+E291+E292</f>
        <v>14500</v>
      </c>
      <c r="F290" s="255"/>
      <c r="G290" s="256">
        <f t="shared" si="29"/>
        <v>1</v>
      </c>
      <c r="H290" s="257">
        <f t="shared" si="47"/>
        <v>14500</v>
      </c>
      <c r="I290" s="257">
        <f>+I291+I292</f>
        <v>14500</v>
      </c>
      <c r="J290" s="256">
        <f t="shared" si="38"/>
        <v>0</v>
      </c>
      <c r="K290" s="258">
        <f>SUM(K291:K292)</f>
        <v>0</v>
      </c>
      <c r="M290" s="174">
        <f t="shared" si="1"/>
        <v>0</v>
      </c>
      <c r="O290" s="144"/>
      <c r="FH290" s="312"/>
      <c r="FI290" s="313"/>
      <c r="FJ290" s="313"/>
      <c r="FK290" s="313"/>
      <c r="FL290" s="313"/>
      <c r="FM290" s="313"/>
      <c r="FN290" s="313"/>
      <c r="FO290" s="313"/>
      <c r="FP290" s="313"/>
      <c r="FQ290" s="313"/>
      <c r="FR290" s="313"/>
      <c r="FS290" s="313"/>
      <c r="FT290" s="313"/>
      <c r="FU290" s="313"/>
      <c r="FV290" s="313"/>
      <c r="FW290" s="313"/>
      <c r="FX290" s="313"/>
      <c r="FY290" s="313"/>
      <c r="FZ290" s="313"/>
      <c r="GA290" s="313"/>
      <c r="GB290" s="313"/>
      <c r="GC290" s="313"/>
      <c r="GD290" s="313"/>
      <c r="GE290" s="313"/>
      <c r="GF290" s="313"/>
      <c r="GG290" s="313"/>
      <c r="GH290" s="313"/>
      <c r="GI290" s="313"/>
      <c r="GJ290" s="313"/>
      <c r="GK290" s="313"/>
      <c r="GL290" s="313"/>
      <c r="GM290" s="313"/>
      <c r="GN290" s="313"/>
      <c r="GO290" s="313"/>
      <c r="GP290" s="313"/>
      <c r="GQ290" s="313"/>
      <c r="GR290" s="313"/>
      <c r="GS290" s="313"/>
      <c r="GT290" s="313"/>
      <c r="GU290" s="313"/>
      <c r="GV290" s="313"/>
      <c r="GW290" s="313"/>
      <c r="GX290" s="313"/>
      <c r="GY290" s="313"/>
      <c r="GZ290" s="313"/>
      <c r="HA290" s="313"/>
      <c r="HB290" s="313"/>
      <c r="HC290" s="313"/>
      <c r="HD290" s="313"/>
      <c r="HE290" s="313"/>
      <c r="HF290" s="313"/>
      <c r="HG290" s="313"/>
      <c r="HH290" s="313"/>
      <c r="HI290" s="313"/>
      <c r="HJ290" s="313"/>
      <c r="HK290" s="313"/>
      <c r="HL290" s="313"/>
      <c r="HM290" s="313"/>
      <c r="HN290" s="313"/>
      <c r="HO290" s="313"/>
      <c r="HP290" s="313"/>
      <c r="HQ290" s="313"/>
      <c r="HR290" s="313"/>
      <c r="HS290" s="313"/>
      <c r="HT290" s="313"/>
      <c r="HU290" s="313"/>
      <c r="HV290" s="313"/>
      <c r="HW290" s="313"/>
      <c r="HX290" s="313"/>
      <c r="HY290" s="313"/>
      <c r="HZ290" s="313"/>
      <c r="IA290" s="313"/>
      <c r="IB290" s="313"/>
      <c r="IC290" s="313"/>
      <c r="ID290" s="313"/>
      <c r="IE290" s="313"/>
      <c r="IF290" s="313"/>
      <c r="IG290" s="313"/>
      <c r="IH290" s="313"/>
      <c r="II290" s="313"/>
      <c r="IJ290" s="313"/>
      <c r="IK290" s="313"/>
      <c r="IL290" s="313"/>
      <c r="IM290" s="313"/>
      <c r="IN290" s="313"/>
      <c r="IO290" s="313"/>
      <c r="IP290" s="313"/>
      <c r="IQ290" s="313"/>
      <c r="IR290" s="313"/>
      <c r="IS290" s="313"/>
      <c r="IT290" s="313"/>
      <c r="IU290" s="313"/>
      <c r="IV290" s="313"/>
    </row>
    <row r="291" spans="1:256" ht="23.25">
      <c r="A291" s="309" t="s">
        <v>487</v>
      </c>
      <c r="B291" s="294" t="s">
        <v>133</v>
      </c>
      <c r="C291" s="295">
        <f>+E291/E290</f>
        <v>0.20689655172413793</v>
      </c>
      <c r="D291" s="310"/>
      <c r="E291" s="299">
        <v>3000</v>
      </c>
      <c r="F291" s="311"/>
      <c r="G291" s="298">
        <f t="shared" si="29"/>
        <v>1</v>
      </c>
      <c r="H291" s="299">
        <f t="shared" si="47"/>
        <v>3000</v>
      </c>
      <c r="I291" s="299">
        <v>3000</v>
      </c>
      <c r="J291" s="298">
        <f t="shared" si="38"/>
        <v>0</v>
      </c>
      <c r="K291" s="300">
        <v>0</v>
      </c>
      <c r="M291" s="174">
        <f t="shared" si="1"/>
        <v>0</v>
      </c>
      <c r="O291" s="144"/>
      <c r="FH291" s="405"/>
      <c r="FI291" s="406"/>
      <c r="FJ291" s="406"/>
      <c r="FK291" s="406"/>
      <c r="FL291" s="406"/>
      <c r="FM291" s="406"/>
      <c r="FN291" s="406"/>
      <c r="FO291" s="406"/>
      <c r="FP291" s="406"/>
      <c r="FQ291" s="406"/>
      <c r="FR291" s="406"/>
      <c r="FS291" s="406"/>
      <c r="FT291" s="406"/>
      <c r="FU291" s="406"/>
      <c r="FV291" s="406"/>
      <c r="FW291" s="406"/>
      <c r="FX291" s="406"/>
      <c r="FY291" s="406"/>
      <c r="FZ291" s="406"/>
      <c r="GA291" s="406"/>
      <c r="GB291" s="406"/>
      <c r="GC291" s="406"/>
      <c r="GD291" s="406"/>
      <c r="GE291" s="406"/>
      <c r="GF291" s="406"/>
      <c r="GG291" s="406"/>
      <c r="GH291" s="406"/>
      <c r="GI291" s="406"/>
      <c r="GJ291" s="406"/>
      <c r="GK291" s="406"/>
      <c r="GL291" s="406"/>
      <c r="GM291" s="406"/>
      <c r="GN291" s="406"/>
      <c r="GO291" s="406"/>
      <c r="GP291" s="406"/>
      <c r="GQ291" s="406"/>
      <c r="GR291" s="406"/>
      <c r="GS291" s="406"/>
      <c r="GT291" s="406"/>
      <c r="GU291" s="406"/>
      <c r="GV291" s="406"/>
      <c r="GW291" s="406"/>
      <c r="GX291" s="406"/>
      <c r="GY291" s="406"/>
      <c r="GZ291" s="406"/>
      <c r="HA291" s="406"/>
      <c r="HB291" s="406"/>
      <c r="HC291" s="406"/>
      <c r="HD291" s="406"/>
      <c r="HE291" s="406"/>
      <c r="HF291" s="406"/>
      <c r="HG291" s="406"/>
      <c r="HH291" s="406"/>
      <c r="HI291" s="406"/>
      <c r="HJ291" s="406"/>
      <c r="HK291" s="406"/>
      <c r="HL291" s="406"/>
      <c r="HM291" s="406"/>
      <c r="HN291" s="406"/>
      <c r="HO291" s="406"/>
      <c r="HP291" s="406"/>
      <c r="HQ291" s="406"/>
      <c r="HR291" s="406"/>
      <c r="HS291" s="406"/>
      <c r="HT291" s="406"/>
      <c r="HU291" s="406"/>
      <c r="HV291" s="406"/>
      <c r="HW291" s="406"/>
      <c r="HX291" s="406"/>
      <c r="HY291" s="406"/>
      <c r="HZ291" s="406"/>
      <c r="IA291" s="406"/>
      <c r="IB291" s="406"/>
      <c r="IC291" s="406"/>
      <c r="ID291" s="406"/>
      <c r="IE291" s="406"/>
      <c r="IF291" s="406"/>
      <c r="IG291" s="406"/>
      <c r="IH291" s="406"/>
      <c r="II291" s="406"/>
      <c r="IJ291" s="406"/>
      <c r="IK291" s="406"/>
      <c r="IL291" s="406"/>
      <c r="IM291" s="406"/>
      <c r="IN291" s="406"/>
      <c r="IO291" s="406"/>
      <c r="IP291" s="406"/>
      <c r="IQ291" s="406"/>
      <c r="IR291" s="406"/>
      <c r="IS291" s="406"/>
      <c r="IT291" s="406"/>
      <c r="IU291" s="406"/>
      <c r="IV291" s="406"/>
    </row>
    <row r="292" spans="1:256" ht="23.25">
      <c r="A292" s="309" t="s">
        <v>488</v>
      </c>
      <c r="B292" s="294" t="s">
        <v>445</v>
      </c>
      <c r="C292" s="295">
        <f>+E292/E290</f>
        <v>0.7931034482758621</v>
      </c>
      <c r="D292" s="310"/>
      <c r="E292" s="299">
        <v>11500</v>
      </c>
      <c r="F292" s="311"/>
      <c r="G292" s="298">
        <f t="shared" si="29"/>
        <v>1</v>
      </c>
      <c r="H292" s="299">
        <f t="shared" si="47"/>
        <v>11500</v>
      </c>
      <c r="I292" s="299">
        <v>11500</v>
      </c>
      <c r="J292" s="298">
        <f t="shared" si="38"/>
        <v>0</v>
      </c>
      <c r="K292" s="300">
        <v>0</v>
      </c>
      <c r="M292" s="174">
        <f t="shared" si="1"/>
        <v>0</v>
      </c>
      <c r="O292" s="144"/>
      <c r="FH292" s="405"/>
      <c r="FI292" s="406"/>
      <c r="FJ292" s="406"/>
      <c r="FK292" s="406"/>
      <c r="FL292" s="406"/>
      <c r="FM292" s="406"/>
      <c r="FN292" s="406"/>
      <c r="FO292" s="406"/>
      <c r="FP292" s="406"/>
      <c r="FQ292" s="406"/>
      <c r="FR292" s="406"/>
      <c r="FS292" s="406"/>
      <c r="FT292" s="406"/>
      <c r="FU292" s="406"/>
      <c r="FV292" s="406"/>
      <c r="FW292" s="406"/>
      <c r="FX292" s="406"/>
      <c r="FY292" s="406"/>
      <c r="FZ292" s="406"/>
      <c r="GA292" s="406"/>
      <c r="GB292" s="406"/>
      <c r="GC292" s="406"/>
      <c r="GD292" s="406"/>
      <c r="GE292" s="406"/>
      <c r="GF292" s="406"/>
      <c r="GG292" s="406"/>
      <c r="GH292" s="406"/>
      <c r="GI292" s="406"/>
      <c r="GJ292" s="406"/>
      <c r="GK292" s="406"/>
      <c r="GL292" s="406"/>
      <c r="GM292" s="406"/>
      <c r="GN292" s="406"/>
      <c r="GO292" s="406"/>
      <c r="GP292" s="406"/>
      <c r="GQ292" s="406"/>
      <c r="GR292" s="406"/>
      <c r="GS292" s="406"/>
      <c r="GT292" s="406"/>
      <c r="GU292" s="406"/>
      <c r="GV292" s="406"/>
      <c r="GW292" s="406"/>
      <c r="GX292" s="406"/>
      <c r="GY292" s="406"/>
      <c r="GZ292" s="406"/>
      <c r="HA292" s="406"/>
      <c r="HB292" s="406"/>
      <c r="HC292" s="406"/>
      <c r="HD292" s="406"/>
      <c r="HE292" s="406"/>
      <c r="HF292" s="406"/>
      <c r="HG292" s="406"/>
      <c r="HH292" s="406"/>
      <c r="HI292" s="406"/>
      <c r="HJ292" s="406"/>
      <c r="HK292" s="406"/>
      <c r="HL292" s="406"/>
      <c r="HM292" s="406"/>
      <c r="HN292" s="406"/>
      <c r="HO292" s="406"/>
      <c r="HP292" s="406"/>
      <c r="HQ292" s="406"/>
      <c r="HR292" s="406"/>
      <c r="HS292" s="406"/>
      <c r="HT292" s="406"/>
      <c r="HU292" s="406"/>
      <c r="HV292" s="406"/>
      <c r="HW292" s="406"/>
      <c r="HX292" s="406"/>
      <c r="HY292" s="406"/>
      <c r="HZ292" s="406"/>
      <c r="IA292" s="406"/>
      <c r="IB292" s="406"/>
      <c r="IC292" s="406"/>
      <c r="ID292" s="406"/>
      <c r="IE292" s="406"/>
      <c r="IF292" s="406"/>
      <c r="IG292" s="406"/>
      <c r="IH292" s="406"/>
      <c r="II292" s="406"/>
      <c r="IJ292" s="406"/>
      <c r="IK292" s="406"/>
      <c r="IL292" s="406"/>
      <c r="IM292" s="406"/>
      <c r="IN292" s="406"/>
      <c r="IO292" s="406"/>
      <c r="IP292" s="406"/>
      <c r="IQ292" s="406"/>
      <c r="IR292" s="406"/>
      <c r="IS292" s="406"/>
      <c r="IT292" s="406"/>
      <c r="IU292" s="406"/>
      <c r="IV292" s="406"/>
    </row>
    <row r="293" spans="1:256" ht="23.25">
      <c r="A293" s="251" t="s">
        <v>490</v>
      </c>
      <c r="B293" s="252" t="s">
        <v>449</v>
      </c>
      <c r="C293" s="253">
        <f aca="true" t="shared" si="48" ref="C293:C298">+E293/$E$287</f>
        <v>0.23953513461676776</v>
      </c>
      <c r="D293" s="254">
        <v>60063</v>
      </c>
      <c r="E293" s="257">
        <v>39965</v>
      </c>
      <c r="F293" s="255"/>
      <c r="G293" s="256">
        <f t="shared" si="29"/>
        <v>1</v>
      </c>
      <c r="H293" s="257">
        <f t="shared" si="47"/>
        <v>39965</v>
      </c>
      <c r="I293" s="257">
        <v>39965</v>
      </c>
      <c r="J293" s="256">
        <f t="shared" si="38"/>
        <v>0</v>
      </c>
      <c r="K293" s="258">
        <v>0</v>
      </c>
      <c r="M293" s="174">
        <f t="shared" si="1"/>
        <v>0</v>
      </c>
      <c r="O293" s="144"/>
      <c r="FH293" s="312"/>
      <c r="FI293" s="313"/>
      <c r="FJ293" s="313"/>
      <c r="FK293" s="313"/>
      <c r="FL293" s="313"/>
      <c r="FM293" s="313"/>
      <c r="FN293" s="313"/>
      <c r="FO293" s="313"/>
      <c r="FP293" s="313"/>
      <c r="FQ293" s="313"/>
      <c r="FR293" s="313"/>
      <c r="FS293" s="313"/>
      <c r="FT293" s="313"/>
      <c r="FU293" s="313"/>
      <c r="FV293" s="313"/>
      <c r="FW293" s="313"/>
      <c r="FX293" s="313"/>
      <c r="FY293" s="313"/>
      <c r="FZ293" s="313"/>
      <c r="GA293" s="313"/>
      <c r="GB293" s="313"/>
      <c r="GC293" s="313"/>
      <c r="GD293" s="313"/>
      <c r="GE293" s="313"/>
      <c r="GF293" s="313"/>
      <c r="GG293" s="313"/>
      <c r="GH293" s="313"/>
      <c r="GI293" s="313"/>
      <c r="GJ293" s="313"/>
      <c r="GK293" s="313"/>
      <c r="GL293" s="313"/>
      <c r="GM293" s="313"/>
      <c r="GN293" s="313"/>
      <c r="GO293" s="313"/>
      <c r="GP293" s="313"/>
      <c r="GQ293" s="313"/>
      <c r="GR293" s="313"/>
      <c r="GS293" s="313"/>
      <c r="GT293" s="313"/>
      <c r="GU293" s="313"/>
      <c r="GV293" s="313"/>
      <c r="GW293" s="313"/>
      <c r="GX293" s="313"/>
      <c r="GY293" s="313"/>
      <c r="GZ293" s="313"/>
      <c r="HA293" s="313"/>
      <c r="HB293" s="313"/>
      <c r="HC293" s="313"/>
      <c r="HD293" s="313"/>
      <c r="HE293" s="313"/>
      <c r="HF293" s="313"/>
      <c r="HG293" s="313"/>
      <c r="HH293" s="313"/>
      <c r="HI293" s="313"/>
      <c r="HJ293" s="313"/>
      <c r="HK293" s="313"/>
      <c r="HL293" s="313"/>
      <c r="HM293" s="313"/>
      <c r="HN293" s="313"/>
      <c r="HO293" s="313"/>
      <c r="HP293" s="313"/>
      <c r="HQ293" s="313"/>
      <c r="HR293" s="313"/>
      <c r="HS293" s="313"/>
      <c r="HT293" s="313"/>
      <c r="HU293" s="313"/>
      <c r="HV293" s="313"/>
      <c r="HW293" s="313"/>
      <c r="HX293" s="313"/>
      <c r="HY293" s="313"/>
      <c r="HZ293" s="313"/>
      <c r="IA293" s="313"/>
      <c r="IB293" s="313"/>
      <c r="IC293" s="313"/>
      <c r="ID293" s="313"/>
      <c r="IE293" s="313"/>
      <c r="IF293" s="313"/>
      <c r="IG293" s="313"/>
      <c r="IH293" s="313"/>
      <c r="II293" s="313"/>
      <c r="IJ293" s="313"/>
      <c r="IK293" s="313"/>
      <c r="IL293" s="313"/>
      <c r="IM293" s="313"/>
      <c r="IN293" s="313"/>
      <c r="IO293" s="313"/>
      <c r="IP293" s="313"/>
      <c r="IQ293" s="313"/>
      <c r="IR293" s="313"/>
      <c r="IS293" s="313"/>
      <c r="IT293" s="313"/>
      <c r="IU293" s="313"/>
      <c r="IV293" s="313"/>
    </row>
    <row r="294" spans="1:256" ht="23.25">
      <c r="A294" s="251" t="s">
        <v>491</v>
      </c>
      <c r="B294" s="252" t="s">
        <v>489</v>
      </c>
      <c r="C294" s="253">
        <f t="shared" si="48"/>
        <v>0.05993622785356381</v>
      </c>
      <c r="D294" s="254"/>
      <c r="E294" s="257">
        <v>10000</v>
      </c>
      <c r="F294" s="255"/>
      <c r="G294" s="256">
        <f t="shared" si="29"/>
        <v>1</v>
      </c>
      <c r="H294" s="257">
        <f t="shared" si="47"/>
        <v>10000</v>
      </c>
      <c r="I294" s="257">
        <v>10000</v>
      </c>
      <c r="J294" s="256">
        <f t="shared" si="38"/>
        <v>0</v>
      </c>
      <c r="K294" s="258">
        <v>0</v>
      </c>
      <c r="M294" s="174">
        <f t="shared" si="1"/>
        <v>0</v>
      </c>
      <c r="O294" s="144"/>
      <c r="FH294" s="312"/>
      <c r="FI294" s="313"/>
      <c r="FJ294" s="313"/>
      <c r="FK294" s="313"/>
      <c r="FL294" s="313"/>
      <c r="FM294" s="313"/>
      <c r="FN294" s="313"/>
      <c r="FO294" s="313"/>
      <c r="FP294" s="313"/>
      <c r="FQ294" s="313"/>
      <c r="FR294" s="313"/>
      <c r="FS294" s="313"/>
      <c r="FT294" s="313"/>
      <c r="FU294" s="313"/>
      <c r="FV294" s="313"/>
      <c r="FW294" s="313"/>
      <c r="FX294" s="313"/>
      <c r="FY294" s="313"/>
      <c r="FZ294" s="313"/>
      <c r="GA294" s="313"/>
      <c r="GB294" s="313"/>
      <c r="GC294" s="313"/>
      <c r="GD294" s="313"/>
      <c r="GE294" s="313"/>
      <c r="GF294" s="313"/>
      <c r="GG294" s="313"/>
      <c r="GH294" s="313"/>
      <c r="GI294" s="313"/>
      <c r="GJ294" s="313"/>
      <c r="GK294" s="313"/>
      <c r="GL294" s="313"/>
      <c r="GM294" s="313"/>
      <c r="GN294" s="313"/>
      <c r="GO294" s="313"/>
      <c r="GP294" s="313"/>
      <c r="GQ294" s="313"/>
      <c r="GR294" s="313"/>
      <c r="GS294" s="313"/>
      <c r="GT294" s="313"/>
      <c r="GU294" s="313"/>
      <c r="GV294" s="313"/>
      <c r="GW294" s="313"/>
      <c r="GX294" s="313"/>
      <c r="GY294" s="313"/>
      <c r="GZ294" s="313"/>
      <c r="HA294" s="313"/>
      <c r="HB294" s="313"/>
      <c r="HC294" s="313"/>
      <c r="HD294" s="313"/>
      <c r="HE294" s="313"/>
      <c r="HF294" s="313"/>
      <c r="HG294" s="313"/>
      <c r="HH294" s="313"/>
      <c r="HI294" s="313"/>
      <c r="HJ294" s="313"/>
      <c r="HK294" s="313"/>
      <c r="HL294" s="313"/>
      <c r="HM294" s="313"/>
      <c r="HN294" s="313"/>
      <c r="HO294" s="313"/>
      <c r="HP294" s="313"/>
      <c r="HQ294" s="313"/>
      <c r="HR294" s="313"/>
      <c r="HS294" s="313"/>
      <c r="HT294" s="313"/>
      <c r="HU294" s="313"/>
      <c r="HV294" s="313"/>
      <c r="HW294" s="313"/>
      <c r="HX294" s="313"/>
      <c r="HY294" s="313"/>
      <c r="HZ294" s="313"/>
      <c r="IA294" s="313"/>
      <c r="IB294" s="313"/>
      <c r="IC294" s="313"/>
      <c r="ID294" s="313"/>
      <c r="IE294" s="313"/>
      <c r="IF294" s="313"/>
      <c r="IG294" s="313"/>
      <c r="IH294" s="313"/>
      <c r="II294" s="313"/>
      <c r="IJ294" s="313"/>
      <c r="IK294" s="313"/>
      <c r="IL294" s="313"/>
      <c r="IM294" s="313"/>
      <c r="IN294" s="313"/>
      <c r="IO294" s="313"/>
      <c r="IP294" s="313"/>
      <c r="IQ294" s="313"/>
      <c r="IR294" s="313"/>
      <c r="IS294" s="313"/>
      <c r="IT294" s="313"/>
      <c r="IU294" s="313"/>
      <c r="IV294" s="313"/>
    </row>
    <row r="295" spans="1:256" ht="23.25">
      <c r="A295" s="251" t="s">
        <v>493</v>
      </c>
      <c r="B295" s="252" t="s">
        <v>455</v>
      </c>
      <c r="C295" s="253">
        <f t="shared" si="48"/>
        <v>0.25999736280597446</v>
      </c>
      <c r="D295" s="254">
        <v>43379</v>
      </c>
      <c r="E295" s="257">
        <v>43379</v>
      </c>
      <c r="F295" s="255"/>
      <c r="G295" s="256">
        <f t="shared" si="29"/>
        <v>1</v>
      </c>
      <c r="H295" s="257">
        <f t="shared" si="47"/>
        <v>43379</v>
      </c>
      <c r="I295" s="257">
        <v>43379</v>
      </c>
      <c r="J295" s="256">
        <f t="shared" si="38"/>
        <v>0</v>
      </c>
      <c r="K295" s="258">
        <v>0</v>
      </c>
      <c r="M295" s="174">
        <f t="shared" si="1"/>
        <v>0</v>
      </c>
      <c r="O295" s="144"/>
      <c r="FH295" s="312"/>
      <c r="FI295" s="313"/>
      <c r="FJ295" s="313"/>
      <c r="FK295" s="313"/>
      <c r="FL295" s="313"/>
      <c r="FM295" s="313"/>
      <c r="FN295" s="313"/>
      <c r="FO295" s="313"/>
      <c r="FP295" s="313"/>
      <c r="FQ295" s="313"/>
      <c r="FR295" s="313"/>
      <c r="FS295" s="313"/>
      <c r="FT295" s="313"/>
      <c r="FU295" s="313"/>
      <c r="FV295" s="313"/>
      <c r="FW295" s="313"/>
      <c r="FX295" s="313"/>
      <c r="FY295" s="313"/>
      <c r="FZ295" s="313"/>
      <c r="GA295" s="313"/>
      <c r="GB295" s="313"/>
      <c r="GC295" s="313"/>
      <c r="GD295" s="313"/>
      <c r="GE295" s="313"/>
      <c r="GF295" s="313"/>
      <c r="GG295" s="313"/>
      <c r="GH295" s="313"/>
      <c r="GI295" s="313"/>
      <c r="GJ295" s="313"/>
      <c r="GK295" s="313"/>
      <c r="GL295" s="313"/>
      <c r="GM295" s="313"/>
      <c r="GN295" s="313"/>
      <c r="GO295" s="313"/>
      <c r="GP295" s="313"/>
      <c r="GQ295" s="313"/>
      <c r="GR295" s="313"/>
      <c r="GS295" s="313"/>
      <c r="GT295" s="313"/>
      <c r="GU295" s="313"/>
      <c r="GV295" s="313"/>
      <c r="GW295" s="313"/>
      <c r="GX295" s="313"/>
      <c r="GY295" s="313"/>
      <c r="GZ295" s="313"/>
      <c r="HA295" s="313"/>
      <c r="HB295" s="313"/>
      <c r="HC295" s="313"/>
      <c r="HD295" s="313"/>
      <c r="HE295" s="313"/>
      <c r="HF295" s="313"/>
      <c r="HG295" s="313"/>
      <c r="HH295" s="313"/>
      <c r="HI295" s="313"/>
      <c r="HJ295" s="313"/>
      <c r="HK295" s="313"/>
      <c r="HL295" s="313"/>
      <c r="HM295" s="313"/>
      <c r="HN295" s="313"/>
      <c r="HO295" s="313"/>
      <c r="HP295" s="313"/>
      <c r="HQ295" s="313"/>
      <c r="HR295" s="313"/>
      <c r="HS295" s="313"/>
      <c r="HT295" s="313"/>
      <c r="HU295" s="313"/>
      <c r="HV295" s="313"/>
      <c r="HW295" s="313"/>
      <c r="HX295" s="313"/>
      <c r="HY295" s="313"/>
      <c r="HZ295" s="313"/>
      <c r="IA295" s="313"/>
      <c r="IB295" s="313"/>
      <c r="IC295" s="313"/>
      <c r="ID295" s="313"/>
      <c r="IE295" s="313"/>
      <c r="IF295" s="313"/>
      <c r="IG295" s="313"/>
      <c r="IH295" s="313"/>
      <c r="II295" s="313"/>
      <c r="IJ295" s="313"/>
      <c r="IK295" s="313"/>
      <c r="IL295" s="313"/>
      <c r="IM295" s="313"/>
      <c r="IN295" s="313"/>
      <c r="IO295" s="313"/>
      <c r="IP295" s="313"/>
      <c r="IQ295" s="313"/>
      <c r="IR295" s="313"/>
      <c r="IS295" s="313"/>
      <c r="IT295" s="313"/>
      <c r="IU295" s="313"/>
      <c r="IV295" s="313"/>
    </row>
    <row r="296" spans="1:256" ht="23.25">
      <c r="A296" s="251" t="s">
        <v>495</v>
      </c>
      <c r="B296" s="252" t="s">
        <v>492</v>
      </c>
      <c r="C296" s="253">
        <f t="shared" si="48"/>
        <v>0.04794898228285105</v>
      </c>
      <c r="D296" s="254"/>
      <c r="E296" s="257">
        <v>8000</v>
      </c>
      <c r="F296" s="255"/>
      <c r="G296" s="256">
        <f t="shared" si="29"/>
        <v>1</v>
      </c>
      <c r="H296" s="257">
        <f t="shared" si="47"/>
        <v>8000</v>
      </c>
      <c r="I296" s="257">
        <v>8000</v>
      </c>
      <c r="J296" s="256">
        <f t="shared" si="38"/>
        <v>0</v>
      </c>
      <c r="K296" s="258">
        <v>0</v>
      </c>
      <c r="M296" s="174">
        <f t="shared" si="1"/>
        <v>0</v>
      </c>
      <c r="O296" s="144"/>
      <c r="FH296" s="312"/>
      <c r="FI296" s="313"/>
      <c r="FJ296" s="313"/>
      <c r="FK296" s="313"/>
      <c r="FL296" s="313"/>
      <c r="FM296" s="313"/>
      <c r="FN296" s="313"/>
      <c r="FO296" s="313"/>
      <c r="FP296" s="313"/>
      <c r="FQ296" s="313"/>
      <c r="FR296" s="313"/>
      <c r="FS296" s="313"/>
      <c r="FT296" s="313"/>
      <c r="FU296" s="313"/>
      <c r="FV296" s="313"/>
      <c r="FW296" s="313"/>
      <c r="FX296" s="313"/>
      <c r="FY296" s="313"/>
      <c r="FZ296" s="313"/>
      <c r="GA296" s="313"/>
      <c r="GB296" s="313"/>
      <c r="GC296" s="313"/>
      <c r="GD296" s="313"/>
      <c r="GE296" s="313"/>
      <c r="GF296" s="313"/>
      <c r="GG296" s="313"/>
      <c r="GH296" s="313"/>
      <c r="GI296" s="313"/>
      <c r="GJ296" s="313"/>
      <c r="GK296" s="313"/>
      <c r="GL296" s="313"/>
      <c r="GM296" s="313"/>
      <c r="GN296" s="313"/>
      <c r="GO296" s="313"/>
      <c r="GP296" s="313"/>
      <c r="GQ296" s="313"/>
      <c r="GR296" s="313"/>
      <c r="GS296" s="313"/>
      <c r="GT296" s="313"/>
      <c r="GU296" s="313"/>
      <c r="GV296" s="313"/>
      <c r="GW296" s="313"/>
      <c r="GX296" s="313"/>
      <c r="GY296" s="313"/>
      <c r="GZ296" s="313"/>
      <c r="HA296" s="313"/>
      <c r="HB296" s="313"/>
      <c r="HC296" s="313"/>
      <c r="HD296" s="313"/>
      <c r="HE296" s="313"/>
      <c r="HF296" s="313"/>
      <c r="HG296" s="313"/>
      <c r="HH296" s="313"/>
      <c r="HI296" s="313"/>
      <c r="HJ296" s="313"/>
      <c r="HK296" s="313"/>
      <c r="HL296" s="313"/>
      <c r="HM296" s="313"/>
      <c r="HN296" s="313"/>
      <c r="HO296" s="313"/>
      <c r="HP296" s="313"/>
      <c r="HQ296" s="313"/>
      <c r="HR296" s="313"/>
      <c r="HS296" s="313"/>
      <c r="HT296" s="313"/>
      <c r="HU296" s="313"/>
      <c r="HV296" s="313"/>
      <c r="HW296" s="313"/>
      <c r="HX296" s="313"/>
      <c r="HY296" s="313"/>
      <c r="HZ296" s="313"/>
      <c r="IA296" s="313"/>
      <c r="IB296" s="313"/>
      <c r="IC296" s="313"/>
      <c r="ID296" s="313"/>
      <c r="IE296" s="313"/>
      <c r="IF296" s="313"/>
      <c r="IG296" s="313"/>
      <c r="IH296" s="313"/>
      <c r="II296" s="313"/>
      <c r="IJ296" s="313"/>
      <c r="IK296" s="313"/>
      <c r="IL296" s="313"/>
      <c r="IM296" s="313"/>
      <c r="IN296" s="313"/>
      <c r="IO296" s="313"/>
      <c r="IP296" s="313"/>
      <c r="IQ296" s="313"/>
      <c r="IR296" s="313"/>
      <c r="IS296" s="313"/>
      <c r="IT296" s="313"/>
      <c r="IU296" s="313"/>
      <c r="IV296" s="313"/>
    </row>
    <row r="297" spans="1:256" ht="23.25">
      <c r="A297" s="251" t="s">
        <v>816</v>
      </c>
      <c r="B297" s="252" t="s">
        <v>494</v>
      </c>
      <c r="C297" s="253">
        <f t="shared" si="48"/>
        <v>0.03596173671213829</v>
      </c>
      <c r="D297" s="254"/>
      <c r="E297" s="257">
        <v>6000</v>
      </c>
      <c r="F297" s="255"/>
      <c r="G297" s="256">
        <f t="shared" si="29"/>
        <v>1</v>
      </c>
      <c r="H297" s="257">
        <f t="shared" si="47"/>
        <v>6000</v>
      </c>
      <c r="I297" s="257">
        <v>6000</v>
      </c>
      <c r="J297" s="256">
        <f t="shared" si="38"/>
        <v>0</v>
      </c>
      <c r="K297" s="258">
        <v>0</v>
      </c>
      <c r="M297" s="174">
        <f t="shared" si="1"/>
        <v>0</v>
      </c>
      <c r="O297" s="144"/>
      <c r="FH297" s="312"/>
      <c r="FI297" s="313"/>
      <c r="FJ297" s="313"/>
      <c r="FK297" s="313"/>
      <c r="FL297" s="313"/>
      <c r="FM297" s="313"/>
      <c r="FN297" s="313"/>
      <c r="FO297" s="313"/>
      <c r="FP297" s="313"/>
      <c r="FQ297" s="313"/>
      <c r="FR297" s="313"/>
      <c r="FS297" s="313"/>
      <c r="FT297" s="313"/>
      <c r="FU297" s="313"/>
      <c r="FV297" s="313"/>
      <c r="FW297" s="313"/>
      <c r="FX297" s="313"/>
      <c r="FY297" s="313"/>
      <c r="FZ297" s="313"/>
      <c r="GA297" s="313"/>
      <c r="GB297" s="313"/>
      <c r="GC297" s="313"/>
      <c r="GD297" s="313"/>
      <c r="GE297" s="313"/>
      <c r="GF297" s="313"/>
      <c r="GG297" s="313"/>
      <c r="GH297" s="313"/>
      <c r="GI297" s="313"/>
      <c r="GJ297" s="313"/>
      <c r="GK297" s="313"/>
      <c r="GL297" s="313"/>
      <c r="GM297" s="313"/>
      <c r="GN297" s="313"/>
      <c r="GO297" s="313"/>
      <c r="GP297" s="313"/>
      <c r="GQ297" s="313"/>
      <c r="GR297" s="313"/>
      <c r="GS297" s="313"/>
      <c r="GT297" s="313"/>
      <c r="GU297" s="313"/>
      <c r="GV297" s="313"/>
      <c r="GW297" s="313"/>
      <c r="GX297" s="313"/>
      <c r="GY297" s="313"/>
      <c r="GZ297" s="313"/>
      <c r="HA297" s="313"/>
      <c r="HB297" s="313"/>
      <c r="HC297" s="313"/>
      <c r="HD297" s="313"/>
      <c r="HE297" s="313"/>
      <c r="HF297" s="313"/>
      <c r="HG297" s="313"/>
      <c r="HH297" s="313"/>
      <c r="HI297" s="313"/>
      <c r="HJ297" s="313"/>
      <c r="HK297" s="313"/>
      <c r="HL297" s="313"/>
      <c r="HM297" s="313"/>
      <c r="HN297" s="313"/>
      <c r="HO297" s="313"/>
      <c r="HP297" s="313"/>
      <c r="HQ297" s="313"/>
      <c r="HR297" s="313"/>
      <c r="HS297" s="313"/>
      <c r="HT297" s="313"/>
      <c r="HU297" s="313"/>
      <c r="HV297" s="313"/>
      <c r="HW297" s="313"/>
      <c r="HX297" s="313"/>
      <c r="HY297" s="313"/>
      <c r="HZ297" s="313"/>
      <c r="IA297" s="313"/>
      <c r="IB297" s="313"/>
      <c r="IC297" s="313"/>
      <c r="ID297" s="313"/>
      <c r="IE297" s="313"/>
      <c r="IF297" s="313"/>
      <c r="IG297" s="313"/>
      <c r="IH297" s="313"/>
      <c r="II297" s="313"/>
      <c r="IJ297" s="313"/>
      <c r="IK297" s="313"/>
      <c r="IL297" s="313"/>
      <c r="IM297" s="313"/>
      <c r="IN297" s="313"/>
      <c r="IO297" s="313"/>
      <c r="IP297" s="313"/>
      <c r="IQ297" s="313"/>
      <c r="IR297" s="313"/>
      <c r="IS297" s="313"/>
      <c r="IT297" s="313"/>
      <c r="IU297" s="313"/>
      <c r="IV297" s="313"/>
    </row>
    <row r="298" spans="1:256" ht="23.25">
      <c r="A298" s="251" t="s">
        <v>817</v>
      </c>
      <c r="B298" s="252" t="s">
        <v>465</v>
      </c>
      <c r="C298" s="253">
        <f t="shared" si="48"/>
        <v>0.14984056963390952</v>
      </c>
      <c r="D298" s="254">
        <v>38376</v>
      </c>
      <c r="E298" s="257">
        <f>+E299</f>
        <v>25000</v>
      </c>
      <c r="F298" s="255"/>
      <c r="G298" s="256">
        <f t="shared" si="29"/>
        <v>1</v>
      </c>
      <c r="H298" s="257">
        <f t="shared" si="47"/>
        <v>25000</v>
      </c>
      <c r="I298" s="257">
        <f>+I299</f>
        <v>25000</v>
      </c>
      <c r="J298" s="256">
        <f t="shared" si="38"/>
        <v>0</v>
      </c>
      <c r="K298" s="258">
        <f>+K299</f>
        <v>0</v>
      </c>
      <c r="M298" s="174">
        <f t="shared" si="1"/>
        <v>0</v>
      </c>
      <c r="O298" s="144"/>
      <c r="FH298" s="312"/>
      <c r="FI298" s="313"/>
      <c r="FJ298" s="313"/>
      <c r="FK298" s="313"/>
      <c r="FL298" s="313"/>
      <c r="FM298" s="313"/>
      <c r="FN298" s="313"/>
      <c r="FO298" s="313"/>
      <c r="FP298" s="313"/>
      <c r="FQ298" s="313"/>
      <c r="FR298" s="313"/>
      <c r="FS298" s="313"/>
      <c r="FT298" s="313"/>
      <c r="FU298" s="313"/>
      <c r="FV298" s="313"/>
      <c r="FW298" s="313"/>
      <c r="FX298" s="313"/>
      <c r="FY298" s="313"/>
      <c r="FZ298" s="313"/>
      <c r="GA298" s="313"/>
      <c r="GB298" s="313"/>
      <c r="GC298" s="313"/>
      <c r="GD298" s="313"/>
      <c r="GE298" s="313"/>
      <c r="GF298" s="313"/>
      <c r="GG298" s="313"/>
      <c r="GH298" s="313"/>
      <c r="GI298" s="313"/>
      <c r="GJ298" s="313"/>
      <c r="GK298" s="313"/>
      <c r="GL298" s="313"/>
      <c r="GM298" s="313"/>
      <c r="GN298" s="313"/>
      <c r="GO298" s="313"/>
      <c r="GP298" s="313"/>
      <c r="GQ298" s="313"/>
      <c r="GR298" s="313"/>
      <c r="GS298" s="313"/>
      <c r="GT298" s="313"/>
      <c r="GU298" s="313"/>
      <c r="GV298" s="313"/>
      <c r="GW298" s="313"/>
      <c r="GX298" s="313"/>
      <c r="GY298" s="313"/>
      <c r="GZ298" s="313"/>
      <c r="HA298" s="313"/>
      <c r="HB298" s="313"/>
      <c r="HC298" s="313"/>
      <c r="HD298" s="313"/>
      <c r="HE298" s="313"/>
      <c r="HF298" s="313"/>
      <c r="HG298" s="313"/>
      <c r="HH298" s="313"/>
      <c r="HI298" s="313"/>
      <c r="HJ298" s="313"/>
      <c r="HK298" s="313"/>
      <c r="HL298" s="313"/>
      <c r="HM298" s="313"/>
      <c r="HN298" s="313"/>
      <c r="HO298" s="313"/>
      <c r="HP298" s="313"/>
      <c r="HQ298" s="313"/>
      <c r="HR298" s="313"/>
      <c r="HS298" s="313"/>
      <c r="HT298" s="313"/>
      <c r="HU298" s="313"/>
      <c r="HV298" s="313"/>
      <c r="HW298" s="313"/>
      <c r="HX298" s="313"/>
      <c r="HY298" s="313"/>
      <c r="HZ298" s="313"/>
      <c r="IA298" s="313"/>
      <c r="IB298" s="313"/>
      <c r="IC298" s="313"/>
      <c r="ID298" s="313"/>
      <c r="IE298" s="313"/>
      <c r="IF298" s="313"/>
      <c r="IG298" s="313"/>
      <c r="IH298" s="313"/>
      <c r="II298" s="313"/>
      <c r="IJ298" s="313"/>
      <c r="IK298" s="313"/>
      <c r="IL298" s="313"/>
      <c r="IM298" s="313"/>
      <c r="IN298" s="313"/>
      <c r="IO298" s="313"/>
      <c r="IP298" s="313"/>
      <c r="IQ298" s="313"/>
      <c r="IR298" s="313"/>
      <c r="IS298" s="313"/>
      <c r="IT298" s="313"/>
      <c r="IU298" s="313"/>
      <c r="IV298" s="313"/>
    </row>
    <row r="299" spans="1:256" ht="23.25">
      <c r="A299" s="251" t="s">
        <v>818</v>
      </c>
      <c r="B299" s="294" t="s">
        <v>477</v>
      </c>
      <c r="C299" s="295">
        <f>+E299/E298</f>
        <v>1</v>
      </c>
      <c r="D299" s="310"/>
      <c r="E299" s="299">
        <v>25000</v>
      </c>
      <c r="F299" s="311"/>
      <c r="G299" s="298">
        <f t="shared" si="29"/>
        <v>1</v>
      </c>
      <c r="H299" s="299">
        <f t="shared" si="47"/>
        <v>25000</v>
      </c>
      <c r="I299" s="299">
        <v>25000</v>
      </c>
      <c r="J299" s="298">
        <f t="shared" si="38"/>
        <v>0</v>
      </c>
      <c r="K299" s="300">
        <v>0</v>
      </c>
      <c r="M299" s="174">
        <f t="shared" si="1"/>
        <v>0</v>
      </c>
      <c r="O299" s="144"/>
      <c r="FH299" s="405"/>
      <c r="FI299" s="406"/>
      <c r="FJ299" s="406"/>
      <c r="FK299" s="406"/>
      <c r="FL299" s="406"/>
      <c r="FM299" s="406"/>
      <c r="FN299" s="406"/>
      <c r="FO299" s="406"/>
      <c r="FP299" s="406"/>
      <c r="FQ299" s="406"/>
      <c r="FR299" s="406"/>
      <c r="FS299" s="406"/>
      <c r="FT299" s="406"/>
      <c r="FU299" s="406"/>
      <c r="FV299" s="406"/>
      <c r="FW299" s="406"/>
      <c r="FX299" s="406"/>
      <c r="FY299" s="406"/>
      <c r="FZ299" s="406"/>
      <c r="GA299" s="406"/>
      <c r="GB299" s="406"/>
      <c r="GC299" s="406"/>
      <c r="GD299" s="406"/>
      <c r="GE299" s="406"/>
      <c r="GF299" s="406"/>
      <c r="GG299" s="406"/>
      <c r="GH299" s="406"/>
      <c r="GI299" s="406"/>
      <c r="GJ299" s="406"/>
      <c r="GK299" s="406"/>
      <c r="GL299" s="406"/>
      <c r="GM299" s="406"/>
      <c r="GN299" s="406"/>
      <c r="GO299" s="406"/>
      <c r="GP299" s="406"/>
      <c r="GQ299" s="406"/>
      <c r="GR299" s="406"/>
      <c r="GS299" s="406"/>
      <c r="GT299" s="406"/>
      <c r="GU299" s="406"/>
      <c r="GV299" s="406"/>
      <c r="GW299" s="406"/>
      <c r="GX299" s="406"/>
      <c r="GY299" s="406"/>
      <c r="GZ299" s="406"/>
      <c r="HA299" s="406"/>
      <c r="HB299" s="406"/>
      <c r="HC299" s="406"/>
      <c r="HD299" s="406"/>
      <c r="HE299" s="406"/>
      <c r="HF299" s="406"/>
      <c r="HG299" s="406"/>
      <c r="HH299" s="406"/>
      <c r="HI299" s="406"/>
      <c r="HJ299" s="406"/>
      <c r="HK299" s="406"/>
      <c r="HL299" s="406"/>
      <c r="HM299" s="406"/>
      <c r="HN299" s="406"/>
      <c r="HO299" s="406"/>
      <c r="HP299" s="406"/>
      <c r="HQ299" s="406"/>
      <c r="HR299" s="406"/>
      <c r="HS299" s="406"/>
      <c r="HT299" s="406"/>
      <c r="HU299" s="406"/>
      <c r="HV299" s="406"/>
      <c r="HW299" s="406"/>
      <c r="HX299" s="406"/>
      <c r="HY299" s="406"/>
      <c r="HZ299" s="406"/>
      <c r="IA299" s="406"/>
      <c r="IB299" s="406"/>
      <c r="IC299" s="406"/>
      <c r="ID299" s="406"/>
      <c r="IE299" s="406"/>
      <c r="IF299" s="406"/>
      <c r="IG299" s="406"/>
      <c r="IH299" s="406"/>
      <c r="II299" s="406"/>
      <c r="IJ299" s="406"/>
      <c r="IK299" s="406"/>
      <c r="IL299" s="406"/>
      <c r="IM299" s="406"/>
      <c r="IN299" s="406"/>
      <c r="IO299" s="406"/>
      <c r="IP299" s="406"/>
      <c r="IQ299" s="406"/>
      <c r="IR299" s="406"/>
      <c r="IS299" s="406"/>
      <c r="IT299" s="406"/>
      <c r="IU299" s="406"/>
      <c r="IV299" s="406"/>
    </row>
    <row r="300" spans="1:15" ht="23.25">
      <c r="A300" s="365" t="s">
        <v>819</v>
      </c>
      <c r="B300" s="366" t="s">
        <v>498</v>
      </c>
      <c r="C300" s="365" t="s">
        <v>499</v>
      </c>
      <c r="D300" s="367">
        <v>2557750</v>
      </c>
      <c r="E300" s="368">
        <f>$K$8*6.5%</f>
        <v>2557750</v>
      </c>
      <c r="F300" s="369">
        <f>SUM(E301:E356)</f>
        <v>5428824.395</v>
      </c>
      <c r="G300" s="370">
        <f t="shared" si="29"/>
        <v>0.9902257843808034</v>
      </c>
      <c r="H300" s="368">
        <f>SUM(H301,H311,H341,H346,H349,H353,H356)</f>
        <v>2532750</v>
      </c>
      <c r="I300" s="368">
        <f>SUM(I301,I311,I341,I346,I349,I353,I356)-0.01</f>
        <v>2375920.1900000004</v>
      </c>
      <c r="J300" s="370">
        <f t="shared" si="38"/>
        <v>0.0613155312286189</v>
      </c>
      <c r="K300" s="371">
        <f>SUM(K301,K311,K341,K346,K349,K353,K356)</f>
        <v>156829.8</v>
      </c>
      <c r="M300" s="174">
        <f t="shared" si="1"/>
        <v>156829.8099999996</v>
      </c>
      <c r="O300" s="144"/>
    </row>
    <row r="301" spans="1:15" ht="23.25">
      <c r="A301" s="275">
        <v>1</v>
      </c>
      <c r="B301" s="276" t="s">
        <v>500</v>
      </c>
      <c r="C301" s="277">
        <v>0.04</v>
      </c>
      <c r="D301" s="278">
        <v>102310</v>
      </c>
      <c r="E301" s="233">
        <f>$E$300*C301</f>
        <v>102310</v>
      </c>
      <c r="F301" s="279"/>
      <c r="G301" s="232">
        <f t="shared" si="29"/>
        <v>1</v>
      </c>
      <c r="H301" s="233">
        <f>+H302+H306</f>
        <v>102310</v>
      </c>
      <c r="I301" s="233">
        <f>+I302+I306</f>
        <v>100810</v>
      </c>
      <c r="J301" s="267">
        <f t="shared" si="38"/>
        <v>0.014661323428794839</v>
      </c>
      <c r="K301" s="234">
        <f>SUM(K302,K306)</f>
        <v>1500</v>
      </c>
      <c r="M301" s="174">
        <f t="shared" si="1"/>
        <v>1500</v>
      </c>
      <c r="O301" s="144"/>
    </row>
    <row r="302" spans="1:256" ht="23.25">
      <c r="A302" s="281" t="s">
        <v>10</v>
      </c>
      <c r="B302" s="282" t="s">
        <v>501</v>
      </c>
      <c r="C302" s="407">
        <f aca="true" t="shared" si="49" ref="C302:C305">+E302/$E$301</f>
        <v>0.4</v>
      </c>
      <c r="D302" s="284"/>
      <c r="E302" s="287">
        <f>+E303+E304+E305</f>
        <v>40924</v>
      </c>
      <c r="F302" s="285"/>
      <c r="G302" s="408">
        <f t="shared" si="29"/>
        <v>1</v>
      </c>
      <c r="H302" s="409">
        <f>+H303+H304+H305</f>
        <v>40924</v>
      </c>
      <c r="I302" s="409">
        <f>+I303+I304+I305</f>
        <v>39424</v>
      </c>
      <c r="J302" s="410">
        <f t="shared" si="38"/>
        <v>0.0366533085719871</v>
      </c>
      <c r="K302" s="289">
        <f>SUM(K303:K305)</f>
        <v>1500</v>
      </c>
      <c r="M302" s="174">
        <f t="shared" si="1"/>
        <v>1500</v>
      </c>
      <c r="O302" s="144"/>
      <c r="FH302" s="304"/>
      <c r="FI302" s="304"/>
      <c r="FJ302" s="304"/>
      <c r="FK302" s="304"/>
      <c r="FL302" s="304"/>
      <c r="FM302" s="304"/>
      <c r="FN302" s="304"/>
      <c r="FO302" s="304"/>
      <c r="FP302" s="304"/>
      <c r="FQ302" s="304"/>
      <c r="FR302" s="304"/>
      <c r="FS302" s="304"/>
      <c r="FT302" s="304"/>
      <c r="FU302" s="304"/>
      <c r="FV302" s="304"/>
      <c r="FW302" s="304"/>
      <c r="FX302" s="304"/>
      <c r="FY302" s="304"/>
      <c r="FZ302" s="304"/>
      <c r="GA302" s="304"/>
      <c r="GB302" s="304"/>
      <c r="GC302" s="304"/>
      <c r="GD302" s="304"/>
      <c r="GE302" s="304"/>
      <c r="GF302" s="304"/>
      <c r="GG302" s="304"/>
      <c r="GH302" s="304"/>
      <c r="GI302" s="304"/>
      <c r="GJ302" s="304"/>
      <c r="GK302" s="304"/>
      <c r="GL302" s="304"/>
      <c r="GM302" s="304"/>
      <c r="GN302" s="304"/>
      <c r="GO302" s="304"/>
      <c r="GP302" s="304"/>
      <c r="GQ302" s="304"/>
      <c r="GR302" s="304"/>
      <c r="GS302" s="304"/>
      <c r="GT302" s="304"/>
      <c r="GU302" s="304"/>
      <c r="GV302" s="304"/>
      <c r="GW302" s="304"/>
      <c r="GX302" s="304"/>
      <c r="GY302" s="304"/>
      <c r="GZ302" s="304"/>
      <c r="HA302" s="304"/>
      <c r="HB302" s="304"/>
      <c r="HC302" s="304"/>
      <c r="HD302" s="304"/>
      <c r="HE302" s="304"/>
      <c r="HF302" s="304"/>
      <c r="HG302" s="304"/>
      <c r="HH302" s="304"/>
      <c r="HI302" s="304"/>
      <c r="HJ302" s="304"/>
      <c r="HK302" s="304"/>
      <c r="HL302" s="304"/>
      <c r="HM302" s="304"/>
      <c r="HN302" s="304"/>
      <c r="HO302" s="304"/>
      <c r="HP302" s="304"/>
      <c r="HQ302" s="304"/>
      <c r="HR302" s="304"/>
      <c r="HS302" s="304"/>
      <c r="HT302" s="304"/>
      <c r="HU302" s="304"/>
      <c r="HV302" s="304"/>
      <c r="HW302" s="304"/>
      <c r="HX302" s="304"/>
      <c r="HY302" s="304"/>
      <c r="HZ302" s="304"/>
      <c r="IA302" s="304"/>
      <c r="IB302" s="304"/>
      <c r="IC302" s="304"/>
      <c r="ID302" s="304"/>
      <c r="IE302" s="304"/>
      <c r="IF302" s="304"/>
      <c r="IG302" s="304"/>
      <c r="IH302" s="304"/>
      <c r="II302" s="304"/>
      <c r="IJ302" s="304"/>
      <c r="IK302" s="304"/>
      <c r="IL302" s="304"/>
      <c r="IM302" s="304"/>
      <c r="IN302" s="304"/>
      <c r="IO302" s="304"/>
      <c r="IP302" s="304"/>
      <c r="IQ302" s="304"/>
      <c r="IR302" s="304"/>
      <c r="IS302" s="304"/>
      <c r="IT302" s="304"/>
      <c r="IU302" s="304"/>
      <c r="IV302" s="304"/>
    </row>
    <row r="303" spans="1:256" ht="23.25">
      <c r="A303" s="411" t="s">
        <v>12</v>
      </c>
      <c r="B303" s="412" t="s">
        <v>502</v>
      </c>
      <c r="C303" s="413">
        <f t="shared" si="49"/>
        <v>0.19548431238393119</v>
      </c>
      <c r="D303" s="414"/>
      <c r="E303" s="415">
        <v>20000</v>
      </c>
      <c r="F303" s="416"/>
      <c r="G303" s="417">
        <f t="shared" si="29"/>
        <v>1</v>
      </c>
      <c r="H303" s="418">
        <f aca="true" t="shared" si="50" ref="H303:H305">+I303+K303</f>
        <v>20000</v>
      </c>
      <c r="I303" s="415">
        <v>20000</v>
      </c>
      <c r="J303" s="419">
        <f t="shared" si="38"/>
        <v>0</v>
      </c>
      <c r="K303" s="420">
        <v>0</v>
      </c>
      <c r="M303" s="174">
        <f t="shared" si="1"/>
        <v>0</v>
      </c>
      <c r="O303" s="144"/>
      <c r="FH303" s="304"/>
      <c r="FI303" s="304"/>
      <c r="FJ303" s="304"/>
      <c r="FK303" s="304"/>
      <c r="FL303" s="304"/>
      <c r="FM303" s="304"/>
      <c r="FN303" s="304"/>
      <c r="FO303" s="304"/>
      <c r="FP303" s="304"/>
      <c r="FQ303" s="304"/>
      <c r="FR303" s="304"/>
      <c r="FS303" s="304"/>
      <c r="FT303" s="304"/>
      <c r="FU303" s="304"/>
      <c r="FV303" s="304"/>
      <c r="FW303" s="304"/>
      <c r="FX303" s="304"/>
      <c r="FY303" s="304"/>
      <c r="FZ303" s="304"/>
      <c r="GA303" s="304"/>
      <c r="GB303" s="304"/>
      <c r="GC303" s="304"/>
      <c r="GD303" s="304"/>
      <c r="GE303" s="304"/>
      <c r="GF303" s="304"/>
      <c r="GG303" s="304"/>
      <c r="GH303" s="304"/>
      <c r="GI303" s="304"/>
      <c r="GJ303" s="304"/>
      <c r="GK303" s="304"/>
      <c r="GL303" s="304"/>
      <c r="GM303" s="304"/>
      <c r="GN303" s="304"/>
      <c r="GO303" s="304"/>
      <c r="GP303" s="304"/>
      <c r="GQ303" s="304"/>
      <c r="GR303" s="304"/>
      <c r="GS303" s="304"/>
      <c r="GT303" s="304"/>
      <c r="GU303" s="304"/>
      <c r="GV303" s="304"/>
      <c r="GW303" s="304"/>
      <c r="GX303" s="304"/>
      <c r="GY303" s="304"/>
      <c r="GZ303" s="304"/>
      <c r="HA303" s="304"/>
      <c r="HB303" s="304"/>
      <c r="HC303" s="304"/>
      <c r="HD303" s="304"/>
      <c r="HE303" s="304"/>
      <c r="HF303" s="304"/>
      <c r="HG303" s="304"/>
      <c r="HH303" s="304"/>
      <c r="HI303" s="304"/>
      <c r="HJ303" s="304"/>
      <c r="HK303" s="304"/>
      <c r="HL303" s="304"/>
      <c r="HM303" s="304"/>
      <c r="HN303" s="304"/>
      <c r="HO303" s="304"/>
      <c r="HP303" s="304"/>
      <c r="HQ303" s="304"/>
      <c r="HR303" s="304"/>
      <c r="HS303" s="304"/>
      <c r="HT303" s="304"/>
      <c r="HU303" s="304"/>
      <c r="HV303" s="304"/>
      <c r="HW303" s="304"/>
      <c r="HX303" s="304"/>
      <c r="HY303" s="304"/>
      <c r="HZ303" s="304"/>
      <c r="IA303" s="304"/>
      <c r="IB303" s="304"/>
      <c r="IC303" s="304"/>
      <c r="ID303" s="304"/>
      <c r="IE303" s="304"/>
      <c r="IF303" s="304"/>
      <c r="IG303" s="304"/>
      <c r="IH303" s="304"/>
      <c r="II303" s="304"/>
      <c r="IJ303" s="304"/>
      <c r="IK303" s="304"/>
      <c r="IL303" s="304"/>
      <c r="IM303" s="304"/>
      <c r="IN303" s="304"/>
      <c r="IO303" s="304"/>
      <c r="IP303" s="304"/>
      <c r="IQ303" s="304"/>
      <c r="IR303" s="304"/>
      <c r="IS303" s="304"/>
      <c r="IT303" s="304"/>
      <c r="IU303" s="304"/>
      <c r="IV303" s="304"/>
    </row>
    <row r="304" spans="1:256" ht="23.25">
      <c r="A304" s="411" t="s">
        <v>14</v>
      </c>
      <c r="B304" s="412" t="s">
        <v>503</v>
      </c>
      <c r="C304" s="413">
        <f t="shared" si="49"/>
        <v>0.1466132342879484</v>
      </c>
      <c r="D304" s="414"/>
      <c r="E304" s="415">
        <v>15000</v>
      </c>
      <c r="F304" s="416"/>
      <c r="G304" s="417">
        <f t="shared" si="29"/>
        <v>1</v>
      </c>
      <c r="H304" s="418">
        <f t="shared" si="50"/>
        <v>15000</v>
      </c>
      <c r="I304" s="415">
        <v>13500</v>
      </c>
      <c r="J304" s="419">
        <f t="shared" si="38"/>
        <v>0.1</v>
      </c>
      <c r="K304" s="420">
        <v>1500</v>
      </c>
      <c r="M304" s="174">
        <f t="shared" si="1"/>
        <v>1500</v>
      </c>
      <c r="O304" s="144"/>
      <c r="FH304" s="304"/>
      <c r="FI304" s="304"/>
      <c r="FJ304" s="304"/>
      <c r="FK304" s="304"/>
      <c r="FL304" s="304"/>
      <c r="FM304" s="304"/>
      <c r="FN304" s="304"/>
      <c r="FO304" s="304"/>
      <c r="FP304" s="304"/>
      <c r="FQ304" s="304"/>
      <c r="FR304" s="304"/>
      <c r="FS304" s="304"/>
      <c r="FT304" s="304"/>
      <c r="FU304" s="304"/>
      <c r="FV304" s="304"/>
      <c r="FW304" s="304"/>
      <c r="FX304" s="304"/>
      <c r="FY304" s="304"/>
      <c r="FZ304" s="304"/>
      <c r="GA304" s="304"/>
      <c r="GB304" s="304"/>
      <c r="GC304" s="304"/>
      <c r="GD304" s="304"/>
      <c r="GE304" s="304"/>
      <c r="GF304" s="304"/>
      <c r="GG304" s="304"/>
      <c r="GH304" s="304"/>
      <c r="GI304" s="304"/>
      <c r="GJ304" s="304"/>
      <c r="GK304" s="304"/>
      <c r="GL304" s="304"/>
      <c r="GM304" s="304"/>
      <c r="GN304" s="304"/>
      <c r="GO304" s="304"/>
      <c r="GP304" s="304"/>
      <c r="GQ304" s="304"/>
      <c r="GR304" s="304"/>
      <c r="GS304" s="304"/>
      <c r="GT304" s="304"/>
      <c r="GU304" s="304"/>
      <c r="GV304" s="304"/>
      <c r="GW304" s="304"/>
      <c r="GX304" s="304"/>
      <c r="GY304" s="304"/>
      <c r="GZ304" s="304"/>
      <c r="HA304" s="304"/>
      <c r="HB304" s="304"/>
      <c r="HC304" s="304"/>
      <c r="HD304" s="304"/>
      <c r="HE304" s="304"/>
      <c r="HF304" s="304"/>
      <c r="HG304" s="304"/>
      <c r="HH304" s="304"/>
      <c r="HI304" s="304"/>
      <c r="HJ304" s="304"/>
      <c r="HK304" s="304"/>
      <c r="HL304" s="304"/>
      <c r="HM304" s="304"/>
      <c r="HN304" s="304"/>
      <c r="HO304" s="304"/>
      <c r="HP304" s="304"/>
      <c r="HQ304" s="304"/>
      <c r="HR304" s="304"/>
      <c r="HS304" s="304"/>
      <c r="HT304" s="304"/>
      <c r="HU304" s="304"/>
      <c r="HV304" s="304"/>
      <c r="HW304" s="304"/>
      <c r="HX304" s="304"/>
      <c r="HY304" s="304"/>
      <c r="HZ304" s="304"/>
      <c r="IA304" s="304"/>
      <c r="IB304" s="304"/>
      <c r="IC304" s="304"/>
      <c r="ID304" s="304"/>
      <c r="IE304" s="304"/>
      <c r="IF304" s="304"/>
      <c r="IG304" s="304"/>
      <c r="IH304" s="304"/>
      <c r="II304" s="304"/>
      <c r="IJ304" s="304"/>
      <c r="IK304" s="304"/>
      <c r="IL304" s="304"/>
      <c r="IM304" s="304"/>
      <c r="IN304" s="304"/>
      <c r="IO304" s="304"/>
      <c r="IP304" s="304"/>
      <c r="IQ304" s="304"/>
      <c r="IR304" s="304"/>
      <c r="IS304" s="304"/>
      <c r="IT304" s="304"/>
      <c r="IU304" s="304"/>
      <c r="IV304" s="304"/>
    </row>
    <row r="305" spans="1:256" ht="23.25">
      <c r="A305" s="411" t="s">
        <v>16</v>
      </c>
      <c r="B305" s="412" t="s">
        <v>820</v>
      </c>
      <c r="C305" s="413">
        <f t="shared" si="49"/>
        <v>0.05790245332812042</v>
      </c>
      <c r="D305" s="414"/>
      <c r="E305" s="415">
        <v>5924</v>
      </c>
      <c r="F305" s="416"/>
      <c r="G305" s="417">
        <f t="shared" si="29"/>
        <v>1</v>
      </c>
      <c r="H305" s="418">
        <f t="shared" si="50"/>
        <v>5924</v>
      </c>
      <c r="I305" s="415">
        <v>5924</v>
      </c>
      <c r="J305" s="419">
        <f t="shared" si="38"/>
        <v>0</v>
      </c>
      <c r="K305" s="420">
        <v>0</v>
      </c>
      <c r="M305" s="174">
        <f t="shared" si="1"/>
        <v>0</v>
      </c>
      <c r="O305" s="144"/>
      <c r="FH305" s="304"/>
      <c r="FI305" s="304"/>
      <c r="FJ305" s="304"/>
      <c r="FK305" s="304"/>
      <c r="FL305" s="304"/>
      <c r="FM305" s="304"/>
      <c r="FN305" s="304"/>
      <c r="FO305" s="304"/>
      <c r="FP305" s="304"/>
      <c r="FQ305" s="304"/>
      <c r="FR305" s="304"/>
      <c r="FS305" s="304"/>
      <c r="FT305" s="304"/>
      <c r="FU305" s="304"/>
      <c r="FV305" s="304"/>
      <c r="FW305" s="304"/>
      <c r="FX305" s="304"/>
      <c r="FY305" s="304"/>
      <c r="FZ305" s="304"/>
      <c r="GA305" s="304"/>
      <c r="GB305" s="304"/>
      <c r="GC305" s="304"/>
      <c r="GD305" s="304"/>
      <c r="GE305" s="304"/>
      <c r="GF305" s="304"/>
      <c r="GG305" s="304"/>
      <c r="GH305" s="304"/>
      <c r="GI305" s="304"/>
      <c r="GJ305" s="304"/>
      <c r="GK305" s="304"/>
      <c r="GL305" s="304"/>
      <c r="GM305" s="304"/>
      <c r="GN305" s="304"/>
      <c r="GO305" s="304"/>
      <c r="GP305" s="304"/>
      <c r="GQ305" s="304"/>
      <c r="GR305" s="304"/>
      <c r="GS305" s="304"/>
      <c r="GT305" s="304"/>
      <c r="GU305" s="304"/>
      <c r="GV305" s="304"/>
      <c r="GW305" s="304"/>
      <c r="GX305" s="304"/>
      <c r="GY305" s="304"/>
      <c r="GZ305" s="304"/>
      <c r="HA305" s="304"/>
      <c r="HB305" s="304"/>
      <c r="HC305" s="304"/>
      <c r="HD305" s="304"/>
      <c r="HE305" s="304"/>
      <c r="HF305" s="304"/>
      <c r="HG305" s="304"/>
      <c r="HH305" s="304"/>
      <c r="HI305" s="304"/>
      <c r="HJ305" s="304"/>
      <c r="HK305" s="304"/>
      <c r="HL305" s="304"/>
      <c r="HM305" s="304"/>
      <c r="HN305" s="304"/>
      <c r="HO305" s="304"/>
      <c r="HP305" s="304"/>
      <c r="HQ305" s="304"/>
      <c r="HR305" s="304"/>
      <c r="HS305" s="304"/>
      <c r="HT305" s="304"/>
      <c r="HU305" s="304"/>
      <c r="HV305" s="304"/>
      <c r="HW305" s="304"/>
      <c r="HX305" s="304"/>
      <c r="HY305" s="304"/>
      <c r="HZ305" s="304"/>
      <c r="IA305" s="304"/>
      <c r="IB305" s="304"/>
      <c r="IC305" s="304"/>
      <c r="ID305" s="304"/>
      <c r="IE305" s="304"/>
      <c r="IF305" s="304"/>
      <c r="IG305" s="304"/>
      <c r="IH305" s="304"/>
      <c r="II305" s="304"/>
      <c r="IJ305" s="304"/>
      <c r="IK305" s="304"/>
      <c r="IL305" s="304"/>
      <c r="IM305" s="304"/>
      <c r="IN305" s="304"/>
      <c r="IO305" s="304"/>
      <c r="IP305" s="304"/>
      <c r="IQ305" s="304"/>
      <c r="IR305" s="304"/>
      <c r="IS305" s="304"/>
      <c r="IT305" s="304"/>
      <c r="IU305" s="304"/>
      <c r="IV305" s="304"/>
    </row>
    <row r="306" spans="1:256" ht="23.25">
      <c r="A306" s="281" t="s">
        <v>20</v>
      </c>
      <c r="B306" s="282" t="s">
        <v>505</v>
      </c>
      <c r="C306" s="407">
        <f>+E306/E301</f>
        <v>0.6</v>
      </c>
      <c r="D306" s="284"/>
      <c r="E306" s="287">
        <v>61386</v>
      </c>
      <c r="F306" s="285"/>
      <c r="G306" s="408">
        <f t="shared" si="29"/>
        <v>1</v>
      </c>
      <c r="H306" s="409">
        <f>+H307+H308+H309+H310</f>
        <v>61386</v>
      </c>
      <c r="I306" s="409">
        <f>+I307+I308+I309+I310</f>
        <v>61386</v>
      </c>
      <c r="J306" s="410">
        <f t="shared" si="38"/>
        <v>0</v>
      </c>
      <c r="K306" s="289">
        <f>SUM(K307:K310)</f>
        <v>0</v>
      </c>
      <c r="M306" s="174">
        <f t="shared" si="1"/>
        <v>0</v>
      </c>
      <c r="O306" s="144"/>
      <c r="FH306" s="304"/>
      <c r="FI306" s="304"/>
      <c r="FJ306" s="304"/>
      <c r="FK306" s="304"/>
      <c r="FL306" s="304"/>
      <c r="FM306" s="304"/>
      <c r="FN306" s="304"/>
      <c r="FO306" s="304"/>
      <c r="FP306" s="304"/>
      <c r="FQ306" s="304"/>
      <c r="FR306" s="304"/>
      <c r="FS306" s="304"/>
      <c r="FT306" s="304"/>
      <c r="FU306" s="304"/>
      <c r="FV306" s="304"/>
      <c r="FW306" s="304"/>
      <c r="FX306" s="304"/>
      <c r="FY306" s="304"/>
      <c r="FZ306" s="304"/>
      <c r="GA306" s="304"/>
      <c r="GB306" s="304"/>
      <c r="GC306" s="304"/>
      <c r="GD306" s="304"/>
      <c r="GE306" s="304"/>
      <c r="GF306" s="304"/>
      <c r="GG306" s="304"/>
      <c r="GH306" s="304"/>
      <c r="GI306" s="304"/>
      <c r="GJ306" s="304"/>
      <c r="GK306" s="304"/>
      <c r="GL306" s="304"/>
      <c r="GM306" s="304"/>
      <c r="GN306" s="304"/>
      <c r="GO306" s="304"/>
      <c r="GP306" s="304"/>
      <c r="GQ306" s="304"/>
      <c r="GR306" s="304"/>
      <c r="GS306" s="304"/>
      <c r="GT306" s="304"/>
      <c r="GU306" s="304"/>
      <c r="GV306" s="304"/>
      <c r="GW306" s="304"/>
      <c r="GX306" s="304"/>
      <c r="GY306" s="304"/>
      <c r="GZ306" s="304"/>
      <c r="HA306" s="304"/>
      <c r="HB306" s="304"/>
      <c r="HC306" s="304"/>
      <c r="HD306" s="304"/>
      <c r="HE306" s="304"/>
      <c r="HF306" s="304"/>
      <c r="HG306" s="304"/>
      <c r="HH306" s="304"/>
      <c r="HI306" s="304"/>
      <c r="HJ306" s="304"/>
      <c r="HK306" s="304"/>
      <c r="HL306" s="304"/>
      <c r="HM306" s="304"/>
      <c r="HN306" s="304"/>
      <c r="HO306" s="304"/>
      <c r="HP306" s="304"/>
      <c r="HQ306" s="304"/>
      <c r="HR306" s="304"/>
      <c r="HS306" s="304"/>
      <c r="HT306" s="304"/>
      <c r="HU306" s="304"/>
      <c r="HV306" s="304"/>
      <c r="HW306" s="304"/>
      <c r="HX306" s="304"/>
      <c r="HY306" s="304"/>
      <c r="HZ306" s="304"/>
      <c r="IA306" s="304"/>
      <c r="IB306" s="304"/>
      <c r="IC306" s="304"/>
      <c r="ID306" s="304"/>
      <c r="IE306" s="304"/>
      <c r="IF306" s="304"/>
      <c r="IG306" s="304"/>
      <c r="IH306" s="304"/>
      <c r="II306" s="304"/>
      <c r="IJ306" s="304"/>
      <c r="IK306" s="304"/>
      <c r="IL306" s="304"/>
      <c r="IM306" s="304"/>
      <c r="IN306" s="304"/>
      <c r="IO306" s="304"/>
      <c r="IP306" s="304"/>
      <c r="IQ306" s="304"/>
      <c r="IR306" s="304"/>
      <c r="IS306" s="304"/>
      <c r="IT306" s="304"/>
      <c r="IU306" s="304"/>
      <c r="IV306" s="304"/>
    </row>
    <row r="307" spans="1:256" ht="23.25">
      <c r="A307" s="411" t="s">
        <v>22</v>
      </c>
      <c r="B307" s="412" t="s">
        <v>821</v>
      </c>
      <c r="C307" s="413">
        <f aca="true" t="shared" si="51" ref="C307:C310">+E307/$E$306</f>
        <v>0.7004854527090868</v>
      </c>
      <c r="D307" s="414"/>
      <c r="E307" s="415">
        <v>43000</v>
      </c>
      <c r="F307" s="416"/>
      <c r="G307" s="417">
        <f t="shared" si="29"/>
        <v>1</v>
      </c>
      <c r="H307" s="418">
        <f aca="true" t="shared" si="52" ref="H307:H310">+I307+K307</f>
        <v>43000</v>
      </c>
      <c r="I307" s="415">
        <v>43000</v>
      </c>
      <c r="J307" s="419">
        <f t="shared" si="38"/>
        <v>0</v>
      </c>
      <c r="K307" s="420">
        <v>0</v>
      </c>
      <c r="M307" s="174">
        <f t="shared" si="1"/>
        <v>0</v>
      </c>
      <c r="O307" s="144"/>
      <c r="FH307" s="304"/>
      <c r="FI307" s="304"/>
      <c r="FJ307" s="304"/>
      <c r="FK307" s="304"/>
      <c r="FL307" s="304"/>
      <c r="FM307" s="304"/>
      <c r="FN307" s="304"/>
      <c r="FO307" s="304"/>
      <c r="FP307" s="304"/>
      <c r="FQ307" s="304"/>
      <c r="FR307" s="304"/>
      <c r="FS307" s="304"/>
      <c r="FT307" s="304"/>
      <c r="FU307" s="304"/>
      <c r="FV307" s="304"/>
      <c r="FW307" s="304"/>
      <c r="FX307" s="304"/>
      <c r="FY307" s="304"/>
      <c r="FZ307" s="304"/>
      <c r="GA307" s="304"/>
      <c r="GB307" s="304"/>
      <c r="GC307" s="304"/>
      <c r="GD307" s="304"/>
      <c r="GE307" s="304"/>
      <c r="GF307" s="304"/>
      <c r="GG307" s="304"/>
      <c r="GH307" s="304"/>
      <c r="GI307" s="304"/>
      <c r="GJ307" s="304"/>
      <c r="GK307" s="304"/>
      <c r="GL307" s="304"/>
      <c r="GM307" s="304"/>
      <c r="GN307" s="304"/>
      <c r="GO307" s="304"/>
      <c r="GP307" s="304"/>
      <c r="GQ307" s="304"/>
      <c r="GR307" s="304"/>
      <c r="GS307" s="304"/>
      <c r="GT307" s="304"/>
      <c r="GU307" s="304"/>
      <c r="GV307" s="304"/>
      <c r="GW307" s="304"/>
      <c r="GX307" s="304"/>
      <c r="GY307" s="304"/>
      <c r="GZ307" s="304"/>
      <c r="HA307" s="304"/>
      <c r="HB307" s="304"/>
      <c r="HC307" s="304"/>
      <c r="HD307" s="304"/>
      <c r="HE307" s="304"/>
      <c r="HF307" s="304"/>
      <c r="HG307" s="304"/>
      <c r="HH307" s="304"/>
      <c r="HI307" s="304"/>
      <c r="HJ307" s="304"/>
      <c r="HK307" s="304"/>
      <c r="HL307" s="304"/>
      <c r="HM307" s="304"/>
      <c r="HN307" s="304"/>
      <c r="HO307" s="304"/>
      <c r="HP307" s="304"/>
      <c r="HQ307" s="304"/>
      <c r="HR307" s="304"/>
      <c r="HS307" s="304"/>
      <c r="HT307" s="304"/>
      <c r="HU307" s="304"/>
      <c r="HV307" s="304"/>
      <c r="HW307" s="304"/>
      <c r="HX307" s="304"/>
      <c r="HY307" s="304"/>
      <c r="HZ307" s="304"/>
      <c r="IA307" s="304"/>
      <c r="IB307" s="304"/>
      <c r="IC307" s="304"/>
      <c r="ID307" s="304"/>
      <c r="IE307" s="304"/>
      <c r="IF307" s="304"/>
      <c r="IG307" s="304"/>
      <c r="IH307" s="304"/>
      <c r="II307" s="304"/>
      <c r="IJ307" s="304"/>
      <c r="IK307" s="304"/>
      <c r="IL307" s="304"/>
      <c r="IM307" s="304"/>
      <c r="IN307" s="304"/>
      <c r="IO307" s="304"/>
      <c r="IP307" s="304"/>
      <c r="IQ307" s="304"/>
      <c r="IR307" s="304"/>
      <c r="IS307" s="304"/>
      <c r="IT307" s="304"/>
      <c r="IU307" s="304"/>
      <c r="IV307" s="304"/>
    </row>
    <row r="308" spans="1:256" ht="23.25">
      <c r="A308" s="411" t="s">
        <v>24</v>
      </c>
      <c r="B308" s="412" t="s">
        <v>507</v>
      </c>
      <c r="C308" s="413">
        <f t="shared" si="51"/>
        <v>0.09774215619196559</v>
      </c>
      <c r="D308" s="414"/>
      <c r="E308" s="415">
        <v>6000</v>
      </c>
      <c r="F308" s="416"/>
      <c r="G308" s="417">
        <f t="shared" si="29"/>
        <v>1</v>
      </c>
      <c r="H308" s="418">
        <f t="shared" si="52"/>
        <v>6000</v>
      </c>
      <c r="I308" s="415">
        <v>6000</v>
      </c>
      <c r="J308" s="419">
        <f t="shared" si="38"/>
        <v>0</v>
      </c>
      <c r="K308" s="420">
        <v>0</v>
      </c>
      <c r="M308" s="174">
        <f t="shared" si="1"/>
        <v>0</v>
      </c>
      <c r="O308" s="144"/>
      <c r="FH308" s="304"/>
      <c r="FI308" s="304"/>
      <c r="FJ308" s="304"/>
      <c r="FK308" s="304"/>
      <c r="FL308" s="304"/>
      <c r="FM308" s="304"/>
      <c r="FN308" s="304"/>
      <c r="FO308" s="304"/>
      <c r="FP308" s="304"/>
      <c r="FQ308" s="304"/>
      <c r="FR308" s="304"/>
      <c r="FS308" s="304"/>
      <c r="FT308" s="304"/>
      <c r="FU308" s="304"/>
      <c r="FV308" s="304"/>
      <c r="FW308" s="304"/>
      <c r="FX308" s="304"/>
      <c r="FY308" s="304"/>
      <c r="FZ308" s="304"/>
      <c r="GA308" s="304"/>
      <c r="GB308" s="304"/>
      <c r="GC308" s="304"/>
      <c r="GD308" s="304"/>
      <c r="GE308" s="304"/>
      <c r="GF308" s="304"/>
      <c r="GG308" s="304"/>
      <c r="GH308" s="304"/>
      <c r="GI308" s="304"/>
      <c r="GJ308" s="304"/>
      <c r="GK308" s="304"/>
      <c r="GL308" s="304"/>
      <c r="GM308" s="304"/>
      <c r="GN308" s="304"/>
      <c r="GO308" s="304"/>
      <c r="GP308" s="304"/>
      <c r="GQ308" s="304"/>
      <c r="GR308" s="304"/>
      <c r="GS308" s="304"/>
      <c r="GT308" s="304"/>
      <c r="GU308" s="304"/>
      <c r="GV308" s="304"/>
      <c r="GW308" s="304"/>
      <c r="GX308" s="304"/>
      <c r="GY308" s="304"/>
      <c r="GZ308" s="304"/>
      <c r="HA308" s="304"/>
      <c r="HB308" s="304"/>
      <c r="HC308" s="304"/>
      <c r="HD308" s="304"/>
      <c r="HE308" s="304"/>
      <c r="HF308" s="304"/>
      <c r="HG308" s="304"/>
      <c r="HH308" s="304"/>
      <c r="HI308" s="304"/>
      <c r="HJ308" s="304"/>
      <c r="HK308" s="304"/>
      <c r="HL308" s="304"/>
      <c r="HM308" s="304"/>
      <c r="HN308" s="304"/>
      <c r="HO308" s="304"/>
      <c r="HP308" s="304"/>
      <c r="HQ308" s="304"/>
      <c r="HR308" s="304"/>
      <c r="HS308" s="304"/>
      <c r="HT308" s="304"/>
      <c r="HU308" s="304"/>
      <c r="HV308" s="304"/>
      <c r="HW308" s="304"/>
      <c r="HX308" s="304"/>
      <c r="HY308" s="304"/>
      <c r="HZ308" s="304"/>
      <c r="IA308" s="304"/>
      <c r="IB308" s="304"/>
      <c r="IC308" s="304"/>
      <c r="ID308" s="304"/>
      <c r="IE308" s="304"/>
      <c r="IF308" s="304"/>
      <c r="IG308" s="304"/>
      <c r="IH308" s="304"/>
      <c r="II308" s="304"/>
      <c r="IJ308" s="304"/>
      <c r="IK308" s="304"/>
      <c r="IL308" s="304"/>
      <c r="IM308" s="304"/>
      <c r="IN308" s="304"/>
      <c r="IO308" s="304"/>
      <c r="IP308" s="304"/>
      <c r="IQ308" s="304"/>
      <c r="IR308" s="304"/>
      <c r="IS308" s="304"/>
      <c r="IT308" s="304"/>
      <c r="IU308" s="304"/>
      <c r="IV308" s="304"/>
    </row>
    <row r="309" spans="1:256" ht="23.25">
      <c r="A309" s="411" t="s">
        <v>26</v>
      </c>
      <c r="B309" s="412" t="s">
        <v>508</v>
      </c>
      <c r="C309" s="413">
        <f t="shared" si="51"/>
        <v>0.1140325155572932</v>
      </c>
      <c r="D309" s="414"/>
      <c r="E309" s="415">
        <v>7000</v>
      </c>
      <c r="F309" s="416"/>
      <c r="G309" s="417">
        <f t="shared" si="29"/>
        <v>1</v>
      </c>
      <c r="H309" s="418">
        <f t="shared" si="52"/>
        <v>7000</v>
      </c>
      <c r="I309" s="415">
        <v>7000</v>
      </c>
      <c r="J309" s="419">
        <f t="shared" si="38"/>
        <v>0</v>
      </c>
      <c r="K309" s="420">
        <v>0</v>
      </c>
      <c r="M309" s="174">
        <f t="shared" si="1"/>
        <v>0</v>
      </c>
      <c r="O309" s="144"/>
      <c r="FH309" s="304"/>
      <c r="FI309" s="304"/>
      <c r="FJ309" s="304"/>
      <c r="FK309" s="304"/>
      <c r="FL309" s="304"/>
      <c r="FM309" s="304"/>
      <c r="FN309" s="304"/>
      <c r="FO309" s="304"/>
      <c r="FP309" s="304"/>
      <c r="FQ309" s="304"/>
      <c r="FR309" s="304"/>
      <c r="FS309" s="304"/>
      <c r="FT309" s="304"/>
      <c r="FU309" s="304"/>
      <c r="FV309" s="304"/>
      <c r="FW309" s="304"/>
      <c r="FX309" s="304"/>
      <c r="FY309" s="304"/>
      <c r="FZ309" s="304"/>
      <c r="GA309" s="304"/>
      <c r="GB309" s="304"/>
      <c r="GC309" s="304"/>
      <c r="GD309" s="304"/>
      <c r="GE309" s="304"/>
      <c r="GF309" s="304"/>
      <c r="GG309" s="304"/>
      <c r="GH309" s="304"/>
      <c r="GI309" s="304"/>
      <c r="GJ309" s="304"/>
      <c r="GK309" s="304"/>
      <c r="GL309" s="304"/>
      <c r="GM309" s="304"/>
      <c r="GN309" s="304"/>
      <c r="GO309" s="304"/>
      <c r="GP309" s="304"/>
      <c r="GQ309" s="304"/>
      <c r="GR309" s="304"/>
      <c r="GS309" s="304"/>
      <c r="GT309" s="304"/>
      <c r="GU309" s="304"/>
      <c r="GV309" s="304"/>
      <c r="GW309" s="304"/>
      <c r="GX309" s="304"/>
      <c r="GY309" s="304"/>
      <c r="GZ309" s="304"/>
      <c r="HA309" s="304"/>
      <c r="HB309" s="304"/>
      <c r="HC309" s="304"/>
      <c r="HD309" s="304"/>
      <c r="HE309" s="304"/>
      <c r="HF309" s="304"/>
      <c r="HG309" s="304"/>
      <c r="HH309" s="304"/>
      <c r="HI309" s="304"/>
      <c r="HJ309" s="304"/>
      <c r="HK309" s="304"/>
      <c r="HL309" s="304"/>
      <c r="HM309" s="304"/>
      <c r="HN309" s="304"/>
      <c r="HO309" s="304"/>
      <c r="HP309" s="304"/>
      <c r="HQ309" s="304"/>
      <c r="HR309" s="304"/>
      <c r="HS309" s="304"/>
      <c r="HT309" s="304"/>
      <c r="HU309" s="304"/>
      <c r="HV309" s="304"/>
      <c r="HW309" s="304"/>
      <c r="HX309" s="304"/>
      <c r="HY309" s="304"/>
      <c r="HZ309" s="304"/>
      <c r="IA309" s="304"/>
      <c r="IB309" s="304"/>
      <c r="IC309" s="304"/>
      <c r="ID309" s="304"/>
      <c r="IE309" s="304"/>
      <c r="IF309" s="304"/>
      <c r="IG309" s="304"/>
      <c r="IH309" s="304"/>
      <c r="II309" s="304"/>
      <c r="IJ309" s="304"/>
      <c r="IK309" s="304"/>
      <c r="IL309" s="304"/>
      <c r="IM309" s="304"/>
      <c r="IN309" s="304"/>
      <c r="IO309" s="304"/>
      <c r="IP309" s="304"/>
      <c r="IQ309" s="304"/>
      <c r="IR309" s="304"/>
      <c r="IS309" s="304"/>
      <c r="IT309" s="304"/>
      <c r="IU309" s="304"/>
      <c r="IV309" s="304"/>
    </row>
    <row r="310" spans="1:256" ht="23.25">
      <c r="A310" s="411" t="s">
        <v>28</v>
      </c>
      <c r="B310" s="412" t="s">
        <v>509</v>
      </c>
      <c r="C310" s="413">
        <f t="shared" si="51"/>
        <v>0.08773987554165445</v>
      </c>
      <c r="D310" s="414"/>
      <c r="E310" s="415">
        <v>5386</v>
      </c>
      <c r="F310" s="416"/>
      <c r="G310" s="417">
        <f t="shared" si="29"/>
        <v>1</v>
      </c>
      <c r="H310" s="418">
        <f t="shared" si="52"/>
        <v>5386</v>
      </c>
      <c r="I310" s="415">
        <v>5386</v>
      </c>
      <c r="J310" s="419">
        <f t="shared" si="38"/>
        <v>0</v>
      </c>
      <c r="K310" s="420">
        <v>0</v>
      </c>
      <c r="M310" s="174">
        <f t="shared" si="1"/>
        <v>0</v>
      </c>
      <c r="O310" s="144"/>
      <c r="FH310" s="304"/>
      <c r="FI310" s="304"/>
      <c r="FJ310" s="304"/>
      <c r="FK310" s="304"/>
      <c r="FL310" s="304"/>
      <c r="FM310" s="304"/>
      <c r="FN310" s="304"/>
      <c r="FO310" s="304"/>
      <c r="FP310" s="304"/>
      <c r="FQ310" s="304"/>
      <c r="FR310" s="304"/>
      <c r="FS310" s="304"/>
      <c r="FT310" s="304"/>
      <c r="FU310" s="304"/>
      <c r="FV310" s="304"/>
      <c r="FW310" s="304"/>
      <c r="FX310" s="304"/>
      <c r="FY310" s="304"/>
      <c r="FZ310" s="304"/>
      <c r="GA310" s="304"/>
      <c r="GB310" s="304"/>
      <c r="GC310" s="304"/>
      <c r="GD310" s="304"/>
      <c r="GE310" s="304"/>
      <c r="GF310" s="304"/>
      <c r="GG310" s="304"/>
      <c r="GH310" s="304"/>
      <c r="GI310" s="304"/>
      <c r="GJ310" s="304"/>
      <c r="GK310" s="304"/>
      <c r="GL310" s="304"/>
      <c r="GM310" s="304"/>
      <c r="GN310" s="304"/>
      <c r="GO310" s="304"/>
      <c r="GP310" s="304"/>
      <c r="GQ310" s="304"/>
      <c r="GR310" s="304"/>
      <c r="GS310" s="304"/>
      <c r="GT310" s="304"/>
      <c r="GU310" s="304"/>
      <c r="GV310" s="304"/>
      <c r="GW310" s="304"/>
      <c r="GX310" s="304"/>
      <c r="GY310" s="304"/>
      <c r="GZ310" s="304"/>
      <c r="HA310" s="304"/>
      <c r="HB310" s="304"/>
      <c r="HC310" s="304"/>
      <c r="HD310" s="304"/>
      <c r="HE310" s="304"/>
      <c r="HF310" s="304"/>
      <c r="HG310" s="304"/>
      <c r="HH310" s="304"/>
      <c r="HI310" s="304"/>
      <c r="HJ310" s="304"/>
      <c r="HK310" s="304"/>
      <c r="HL310" s="304"/>
      <c r="HM310" s="304"/>
      <c r="HN310" s="304"/>
      <c r="HO310" s="304"/>
      <c r="HP310" s="304"/>
      <c r="HQ310" s="304"/>
      <c r="HR310" s="304"/>
      <c r="HS310" s="304"/>
      <c r="HT310" s="304"/>
      <c r="HU310" s="304"/>
      <c r="HV310" s="304"/>
      <c r="HW310" s="304"/>
      <c r="HX310" s="304"/>
      <c r="HY310" s="304"/>
      <c r="HZ310" s="304"/>
      <c r="IA310" s="304"/>
      <c r="IB310" s="304"/>
      <c r="IC310" s="304"/>
      <c r="ID310" s="304"/>
      <c r="IE310" s="304"/>
      <c r="IF310" s="304"/>
      <c r="IG310" s="304"/>
      <c r="IH310" s="304"/>
      <c r="II310" s="304"/>
      <c r="IJ310" s="304"/>
      <c r="IK310" s="304"/>
      <c r="IL310" s="304"/>
      <c r="IM310" s="304"/>
      <c r="IN310" s="304"/>
      <c r="IO310" s="304"/>
      <c r="IP310" s="304"/>
      <c r="IQ310" s="304"/>
      <c r="IR310" s="304"/>
      <c r="IS310" s="304"/>
      <c r="IT310" s="304"/>
      <c r="IU310" s="304"/>
      <c r="IV310" s="304"/>
    </row>
    <row r="311" spans="1:15" ht="23.25">
      <c r="A311" s="275">
        <v>2</v>
      </c>
      <c r="B311" s="276" t="s">
        <v>510</v>
      </c>
      <c r="C311" s="277">
        <v>0.25</v>
      </c>
      <c r="D311" s="278">
        <v>639437.5</v>
      </c>
      <c r="E311" s="233">
        <f>$E$300*C311</f>
        <v>639437.5</v>
      </c>
      <c r="F311" s="279"/>
      <c r="G311" s="232">
        <f t="shared" si="29"/>
        <v>1</v>
      </c>
      <c r="H311" s="233">
        <f>SUM(H312,H319,H334)-0.01</f>
        <v>639437.5</v>
      </c>
      <c r="I311" s="233">
        <f>SUM(I312,I319,I334)-0.01</f>
        <v>639437.5</v>
      </c>
      <c r="J311" s="267">
        <f t="shared" si="38"/>
        <v>0</v>
      </c>
      <c r="K311" s="234">
        <f>SUM(K312,K319,K334)</f>
        <v>0</v>
      </c>
      <c r="M311" s="174">
        <f t="shared" si="1"/>
        <v>0</v>
      </c>
      <c r="O311" s="144"/>
    </row>
    <row r="312" spans="1:15" ht="23.25">
      <c r="A312" s="243" t="s">
        <v>62</v>
      </c>
      <c r="B312" s="244" t="s">
        <v>511</v>
      </c>
      <c r="C312" s="245">
        <v>0.42</v>
      </c>
      <c r="D312" s="246">
        <v>223803.125</v>
      </c>
      <c r="E312" s="249">
        <f>$E$311*C312</f>
        <v>268563.75</v>
      </c>
      <c r="F312" s="247"/>
      <c r="G312" s="248">
        <f t="shared" si="29"/>
        <v>1</v>
      </c>
      <c r="H312" s="249">
        <f aca="true" t="shared" si="53" ref="H312:H318">+I312+K312</f>
        <v>268563.75</v>
      </c>
      <c r="I312" s="249">
        <f>SUM(I313:I318)</f>
        <v>268563.75</v>
      </c>
      <c r="J312" s="248">
        <f t="shared" si="38"/>
        <v>0</v>
      </c>
      <c r="K312" s="250">
        <f>SUM(K313:K318)</f>
        <v>0</v>
      </c>
      <c r="M312" s="174">
        <f t="shared" si="1"/>
        <v>0</v>
      </c>
      <c r="O312" s="144"/>
    </row>
    <row r="313" spans="1:256" ht="23.25">
      <c r="A313" s="293" t="s">
        <v>408</v>
      </c>
      <c r="B313" s="372" t="s">
        <v>407</v>
      </c>
      <c r="C313" s="373">
        <f aca="true" t="shared" si="54" ref="C313:C318">+E313/$E$312</f>
        <v>0.01303228749226208</v>
      </c>
      <c r="D313" s="296"/>
      <c r="E313" s="337">
        <v>3500</v>
      </c>
      <c r="F313" s="297"/>
      <c r="G313" s="374">
        <f t="shared" si="29"/>
        <v>1</v>
      </c>
      <c r="H313" s="337">
        <f t="shared" si="53"/>
        <v>3500</v>
      </c>
      <c r="I313" s="337">
        <v>3500</v>
      </c>
      <c r="J313" s="374">
        <f t="shared" si="38"/>
        <v>0</v>
      </c>
      <c r="K313" s="375">
        <v>0</v>
      </c>
      <c r="M313" s="174">
        <f t="shared" si="1"/>
        <v>0</v>
      </c>
      <c r="O313" s="144"/>
      <c r="FH313" s="304"/>
      <c r="FI313" s="304"/>
      <c r="FJ313" s="304"/>
      <c r="FK313" s="304"/>
      <c r="FL313" s="304"/>
      <c r="FM313" s="304"/>
      <c r="FN313" s="304"/>
      <c r="FO313" s="304"/>
      <c r="FP313" s="304"/>
      <c r="FQ313" s="304"/>
      <c r="FR313" s="304"/>
      <c r="FS313" s="304"/>
      <c r="FT313" s="304"/>
      <c r="FU313" s="304"/>
      <c r="FV313" s="304"/>
      <c r="FW313" s="304"/>
      <c r="FX313" s="304"/>
      <c r="FY313" s="304"/>
      <c r="FZ313" s="304"/>
      <c r="GA313" s="304"/>
      <c r="GB313" s="304"/>
      <c r="GC313" s="304"/>
      <c r="GD313" s="304"/>
      <c r="GE313" s="304"/>
      <c r="GF313" s="304"/>
      <c r="GG313" s="304"/>
      <c r="GH313" s="304"/>
      <c r="GI313" s="304"/>
      <c r="GJ313" s="304"/>
      <c r="GK313" s="304"/>
      <c r="GL313" s="304"/>
      <c r="GM313" s="304"/>
      <c r="GN313" s="304"/>
      <c r="GO313" s="304"/>
      <c r="GP313" s="304"/>
      <c r="GQ313" s="304"/>
      <c r="GR313" s="304"/>
      <c r="GS313" s="304"/>
      <c r="GT313" s="304"/>
      <c r="GU313" s="304"/>
      <c r="GV313" s="304"/>
      <c r="GW313" s="304"/>
      <c r="GX313" s="304"/>
      <c r="GY313" s="304"/>
      <c r="GZ313" s="304"/>
      <c r="HA313" s="304"/>
      <c r="HB313" s="304"/>
      <c r="HC313" s="304"/>
      <c r="HD313" s="304"/>
      <c r="HE313" s="304"/>
      <c r="HF313" s="304"/>
      <c r="HG313" s="304"/>
      <c r="HH313" s="304"/>
      <c r="HI313" s="304"/>
      <c r="HJ313" s="304"/>
      <c r="HK313" s="304"/>
      <c r="HL313" s="304"/>
      <c r="HM313" s="304"/>
      <c r="HN313" s="304"/>
      <c r="HO313" s="304"/>
      <c r="HP313" s="304"/>
      <c r="HQ313" s="304"/>
      <c r="HR313" s="304"/>
      <c r="HS313" s="304"/>
      <c r="HT313" s="304"/>
      <c r="HU313" s="304"/>
      <c r="HV313" s="304"/>
      <c r="HW313" s="304"/>
      <c r="HX313" s="304"/>
      <c r="HY313" s="304"/>
      <c r="HZ313" s="304"/>
      <c r="IA313" s="304"/>
      <c r="IB313" s="304"/>
      <c r="IC313" s="304"/>
      <c r="ID313" s="304"/>
      <c r="IE313" s="304"/>
      <c r="IF313" s="304"/>
      <c r="IG313" s="304"/>
      <c r="IH313" s="304"/>
      <c r="II313" s="304"/>
      <c r="IJ313" s="304"/>
      <c r="IK313" s="304"/>
      <c r="IL313" s="304"/>
      <c r="IM313" s="304"/>
      <c r="IN313" s="304"/>
      <c r="IO313" s="304"/>
      <c r="IP313" s="304"/>
      <c r="IQ313" s="304"/>
      <c r="IR313" s="304"/>
      <c r="IS313" s="304"/>
      <c r="IT313" s="304"/>
      <c r="IU313" s="304"/>
      <c r="IV313" s="304"/>
    </row>
    <row r="314" spans="1:256" ht="23.25">
      <c r="A314" s="293" t="s">
        <v>410</v>
      </c>
      <c r="B314" s="372" t="s">
        <v>512</v>
      </c>
      <c r="C314" s="373">
        <f t="shared" si="54"/>
        <v>0.02703499634630511</v>
      </c>
      <c r="D314" s="296"/>
      <c r="E314" s="337">
        <v>7260.62</v>
      </c>
      <c r="F314" s="297"/>
      <c r="G314" s="374">
        <f t="shared" si="29"/>
        <v>1</v>
      </c>
      <c r="H314" s="337">
        <f t="shared" si="53"/>
        <v>7260.62</v>
      </c>
      <c r="I314" s="337">
        <v>7260.62</v>
      </c>
      <c r="J314" s="374">
        <f t="shared" si="38"/>
        <v>0</v>
      </c>
      <c r="K314" s="375">
        <v>0</v>
      </c>
      <c r="M314" s="174">
        <f t="shared" si="1"/>
        <v>0</v>
      </c>
      <c r="O314" s="144"/>
      <c r="FH314" s="304"/>
      <c r="FI314" s="304"/>
      <c r="FJ314" s="304"/>
      <c r="FK314" s="304"/>
      <c r="FL314" s="304"/>
      <c r="FM314" s="304"/>
      <c r="FN314" s="304"/>
      <c r="FO314" s="304"/>
      <c r="FP314" s="304"/>
      <c r="FQ314" s="304"/>
      <c r="FR314" s="304"/>
      <c r="FS314" s="304"/>
      <c r="FT314" s="304"/>
      <c r="FU314" s="304"/>
      <c r="FV314" s="304"/>
      <c r="FW314" s="304"/>
      <c r="FX314" s="304"/>
      <c r="FY314" s="304"/>
      <c r="FZ314" s="304"/>
      <c r="GA314" s="304"/>
      <c r="GB314" s="304"/>
      <c r="GC314" s="304"/>
      <c r="GD314" s="304"/>
      <c r="GE314" s="304"/>
      <c r="GF314" s="304"/>
      <c r="GG314" s="304"/>
      <c r="GH314" s="304"/>
      <c r="GI314" s="304"/>
      <c r="GJ314" s="304"/>
      <c r="GK314" s="304"/>
      <c r="GL314" s="304"/>
      <c r="GM314" s="304"/>
      <c r="GN314" s="304"/>
      <c r="GO314" s="304"/>
      <c r="GP314" s="304"/>
      <c r="GQ314" s="304"/>
      <c r="GR314" s="304"/>
      <c r="GS314" s="304"/>
      <c r="GT314" s="304"/>
      <c r="GU314" s="304"/>
      <c r="GV314" s="304"/>
      <c r="GW314" s="304"/>
      <c r="GX314" s="304"/>
      <c r="GY314" s="304"/>
      <c r="GZ314" s="304"/>
      <c r="HA314" s="304"/>
      <c r="HB314" s="304"/>
      <c r="HC314" s="304"/>
      <c r="HD314" s="304"/>
      <c r="HE314" s="304"/>
      <c r="HF314" s="304"/>
      <c r="HG314" s="304"/>
      <c r="HH314" s="304"/>
      <c r="HI314" s="304"/>
      <c r="HJ314" s="304"/>
      <c r="HK314" s="304"/>
      <c r="HL314" s="304"/>
      <c r="HM314" s="304"/>
      <c r="HN314" s="304"/>
      <c r="HO314" s="304"/>
      <c r="HP314" s="304"/>
      <c r="HQ314" s="304"/>
      <c r="HR314" s="304"/>
      <c r="HS314" s="304"/>
      <c r="HT314" s="304"/>
      <c r="HU314" s="304"/>
      <c r="HV314" s="304"/>
      <c r="HW314" s="304"/>
      <c r="HX314" s="304"/>
      <c r="HY314" s="304"/>
      <c r="HZ314" s="304"/>
      <c r="IA314" s="304"/>
      <c r="IB314" s="304"/>
      <c r="IC314" s="304"/>
      <c r="ID314" s="304"/>
      <c r="IE314" s="304"/>
      <c r="IF314" s="304"/>
      <c r="IG314" s="304"/>
      <c r="IH314" s="304"/>
      <c r="II314" s="304"/>
      <c r="IJ314" s="304"/>
      <c r="IK314" s="304"/>
      <c r="IL314" s="304"/>
      <c r="IM314" s="304"/>
      <c r="IN314" s="304"/>
      <c r="IO314" s="304"/>
      <c r="IP314" s="304"/>
      <c r="IQ314" s="304"/>
      <c r="IR314" s="304"/>
      <c r="IS314" s="304"/>
      <c r="IT314" s="304"/>
      <c r="IU314" s="304"/>
      <c r="IV314" s="304"/>
    </row>
    <row r="315" spans="1:256" ht="23.25">
      <c r="A315" s="293" t="s">
        <v>513</v>
      </c>
      <c r="B315" s="372" t="s">
        <v>514</v>
      </c>
      <c r="C315" s="373">
        <f t="shared" si="54"/>
        <v>0.21224011058826814</v>
      </c>
      <c r="D315" s="296"/>
      <c r="E315" s="337">
        <v>57000</v>
      </c>
      <c r="F315" s="297"/>
      <c r="G315" s="374">
        <f t="shared" si="29"/>
        <v>1</v>
      </c>
      <c r="H315" s="337">
        <f t="shared" si="53"/>
        <v>57000</v>
      </c>
      <c r="I315" s="337">
        <v>57000</v>
      </c>
      <c r="J315" s="374">
        <f t="shared" si="38"/>
        <v>0</v>
      </c>
      <c r="K315" s="375">
        <v>0</v>
      </c>
      <c r="M315" s="174">
        <f t="shared" si="1"/>
        <v>0</v>
      </c>
      <c r="O315" s="144"/>
      <c r="FH315" s="304"/>
      <c r="FI315" s="304"/>
      <c r="FJ315" s="304"/>
      <c r="FK315" s="304"/>
      <c r="FL315" s="304"/>
      <c r="FM315" s="304"/>
      <c r="FN315" s="304"/>
      <c r="FO315" s="304"/>
      <c r="FP315" s="304"/>
      <c r="FQ315" s="304"/>
      <c r="FR315" s="304"/>
      <c r="FS315" s="304"/>
      <c r="FT315" s="304"/>
      <c r="FU315" s="304"/>
      <c r="FV315" s="304"/>
      <c r="FW315" s="304"/>
      <c r="FX315" s="304"/>
      <c r="FY315" s="304"/>
      <c r="FZ315" s="304"/>
      <c r="GA315" s="304"/>
      <c r="GB315" s="304"/>
      <c r="GC315" s="304"/>
      <c r="GD315" s="304"/>
      <c r="GE315" s="304"/>
      <c r="GF315" s="304"/>
      <c r="GG315" s="304"/>
      <c r="GH315" s="304"/>
      <c r="GI315" s="304"/>
      <c r="GJ315" s="304"/>
      <c r="GK315" s="304"/>
      <c r="GL315" s="304"/>
      <c r="GM315" s="304"/>
      <c r="GN315" s="304"/>
      <c r="GO315" s="304"/>
      <c r="GP315" s="304"/>
      <c r="GQ315" s="304"/>
      <c r="GR315" s="304"/>
      <c r="GS315" s="304"/>
      <c r="GT315" s="304"/>
      <c r="GU315" s="304"/>
      <c r="GV315" s="304"/>
      <c r="GW315" s="304"/>
      <c r="GX315" s="304"/>
      <c r="GY315" s="304"/>
      <c r="GZ315" s="304"/>
      <c r="HA315" s="304"/>
      <c r="HB315" s="304"/>
      <c r="HC315" s="304"/>
      <c r="HD315" s="304"/>
      <c r="HE315" s="304"/>
      <c r="HF315" s="304"/>
      <c r="HG315" s="304"/>
      <c r="HH315" s="304"/>
      <c r="HI315" s="304"/>
      <c r="HJ315" s="304"/>
      <c r="HK315" s="304"/>
      <c r="HL315" s="304"/>
      <c r="HM315" s="304"/>
      <c r="HN315" s="304"/>
      <c r="HO315" s="304"/>
      <c r="HP315" s="304"/>
      <c r="HQ315" s="304"/>
      <c r="HR315" s="304"/>
      <c r="HS315" s="304"/>
      <c r="HT315" s="304"/>
      <c r="HU315" s="304"/>
      <c r="HV315" s="304"/>
      <c r="HW315" s="304"/>
      <c r="HX315" s="304"/>
      <c r="HY315" s="304"/>
      <c r="HZ315" s="304"/>
      <c r="IA315" s="304"/>
      <c r="IB315" s="304"/>
      <c r="IC315" s="304"/>
      <c r="ID315" s="304"/>
      <c r="IE315" s="304"/>
      <c r="IF315" s="304"/>
      <c r="IG315" s="304"/>
      <c r="IH315" s="304"/>
      <c r="II315" s="304"/>
      <c r="IJ315" s="304"/>
      <c r="IK315" s="304"/>
      <c r="IL315" s="304"/>
      <c r="IM315" s="304"/>
      <c r="IN315" s="304"/>
      <c r="IO315" s="304"/>
      <c r="IP315" s="304"/>
      <c r="IQ315" s="304"/>
      <c r="IR315" s="304"/>
      <c r="IS315" s="304"/>
      <c r="IT315" s="304"/>
      <c r="IU315" s="304"/>
      <c r="IV315" s="304"/>
    </row>
    <row r="316" spans="1:256" ht="23.25">
      <c r="A316" s="293" t="s">
        <v>515</v>
      </c>
      <c r="B316" s="372" t="s">
        <v>516</v>
      </c>
      <c r="C316" s="373">
        <f t="shared" si="54"/>
        <v>0.5026739461301087</v>
      </c>
      <c r="D316" s="296"/>
      <c r="E316" s="337">
        <f>105000+30000</f>
        <v>135000</v>
      </c>
      <c r="F316" s="297"/>
      <c r="G316" s="374">
        <f t="shared" si="29"/>
        <v>1</v>
      </c>
      <c r="H316" s="337">
        <f t="shared" si="53"/>
        <v>135000</v>
      </c>
      <c r="I316" s="337">
        <v>135000</v>
      </c>
      <c r="J316" s="374">
        <f t="shared" si="38"/>
        <v>0</v>
      </c>
      <c r="K316" s="375">
        <v>0</v>
      </c>
      <c r="M316" s="174">
        <f t="shared" si="1"/>
        <v>0</v>
      </c>
      <c r="O316" s="144"/>
      <c r="FH316" s="304"/>
      <c r="FI316" s="304"/>
      <c r="FJ316" s="304"/>
      <c r="FK316" s="304"/>
      <c r="FL316" s="304"/>
      <c r="FM316" s="304"/>
      <c r="FN316" s="304"/>
      <c r="FO316" s="304"/>
      <c r="FP316" s="304"/>
      <c r="FQ316" s="304"/>
      <c r="FR316" s="304"/>
      <c r="FS316" s="304"/>
      <c r="FT316" s="304"/>
      <c r="FU316" s="304"/>
      <c r="FV316" s="304"/>
      <c r="FW316" s="304"/>
      <c r="FX316" s="304"/>
      <c r="FY316" s="304"/>
      <c r="FZ316" s="304"/>
      <c r="GA316" s="304"/>
      <c r="GB316" s="304"/>
      <c r="GC316" s="304"/>
      <c r="GD316" s="304"/>
      <c r="GE316" s="304"/>
      <c r="GF316" s="304"/>
      <c r="GG316" s="304"/>
      <c r="GH316" s="304"/>
      <c r="GI316" s="304"/>
      <c r="GJ316" s="304"/>
      <c r="GK316" s="304"/>
      <c r="GL316" s="304"/>
      <c r="GM316" s="304"/>
      <c r="GN316" s="304"/>
      <c r="GO316" s="304"/>
      <c r="GP316" s="304"/>
      <c r="GQ316" s="304"/>
      <c r="GR316" s="304"/>
      <c r="GS316" s="304"/>
      <c r="GT316" s="304"/>
      <c r="GU316" s="304"/>
      <c r="GV316" s="304"/>
      <c r="GW316" s="304"/>
      <c r="GX316" s="304"/>
      <c r="GY316" s="304"/>
      <c r="GZ316" s="304"/>
      <c r="HA316" s="304"/>
      <c r="HB316" s="304"/>
      <c r="HC316" s="304"/>
      <c r="HD316" s="304"/>
      <c r="HE316" s="304"/>
      <c r="HF316" s="304"/>
      <c r="HG316" s="304"/>
      <c r="HH316" s="304"/>
      <c r="HI316" s="304"/>
      <c r="HJ316" s="304"/>
      <c r="HK316" s="304"/>
      <c r="HL316" s="304"/>
      <c r="HM316" s="304"/>
      <c r="HN316" s="304"/>
      <c r="HO316" s="304"/>
      <c r="HP316" s="304"/>
      <c r="HQ316" s="304"/>
      <c r="HR316" s="304"/>
      <c r="HS316" s="304"/>
      <c r="HT316" s="304"/>
      <c r="HU316" s="304"/>
      <c r="HV316" s="304"/>
      <c r="HW316" s="304"/>
      <c r="HX316" s="304"/>
      <c r="HY316" s="304"/>
      <c r="HZ316" s="304"/>
      <c r="IA316" s="304"/>
      <c r="IB316" s="304"/>
      <c r="IC316" s="304"/>
      <c r="ID316" s="304"/>
      <c r="IE316" s="304"/>
      <c r="IF316" s="304"/>
      <c r="IG316" s="304"/>
      <c r="IH316" s="304"/>
      <c r="II316" s="304"/>
      <c r="IJ316" s="304"/>
      <c r="IK316" s="304"/>
      <c r="IL316" s="304"/>
      <c r="IM316" s="304"/>
      <c r="IN316" s="304"/>
      <c r="IO316" s="304"/>
      <c r="IP316" s="304"/>
      <c r="IQ316" s="304"/>
      <c r="IR316" s="304"/>
      <c r="IS316" s="304"/>
      <c r="IT316" s="304"/>
      <c r="IU316" s="304"/>
      <c r="IV316" s="304"/>
    </row>
    <row r="317" spans="1:256" ht="23.25">
      <c r="A317" s="293" t="s">
        <v>517</v>
      </c>
      <c r="B317" s="372" t="s">
        <v>288</v>
      </c>
      <c r="C317" s="373">
        <f t="shared" si="54"/>
        <v>0.19362255702789374</v>
      </c>
      <c r="D317" s="296"/>
      <c r="E317" s="337">
        <v>52000</v>
      </c>
      <c r="F317" s="297"/>
      <c r="G317" s="374">
        <f t="shared" si="29"/>
        <v>1</v>
      </c>
      <c r="H317" s="337">
        <f t="shared" si="53"/>
        <v>52000</v>
      </c>
      <c r="I317" s="337">
        <v>52000</v>
      </c>
      <c r="J317" s="374">
        <f t="shared" si="38"/>
        <v>0</v>
      </c>
      <c r="K317" s="375">
        <v>0</v>
      </c>
      <c r="M317" s="174">
        <f t="shared" si="1"/>
        <v>0</v>
      </c>
      <c r="O317" s="144"/>
      <c r="FH317" s="304"/>
      <c r="FI317" s="304"/>
      <c r="FJ317" s="304"/>
      <c r="FK317" s="304"/>
      <c r="FL317" s="304"/>
      <c r="FM317" s="304"/>
      <c r="FN317" s="304"/>
      <c r="FO317" s="304"/>
      <c r="FP317" s="304"/>
      <c r="FQ317" s="304"/>
      <c r="FR317" s="304"/>
      <c r="FS317" s="304"/>
      <c r="FT317" s="304"/>
      <c r="FU317" s="304"/>
      <c r="FV317" s="304"/>
      <c r="FW317" s="304"/>
      <c r="FX317" s="304"/>
      <c r="FY317" s="304"/>
      <c r="FZ317" s="304"/>
      <c r="GA317" s="304"/>
      <c r="GB317" s="304"/>
      <c r="GC317" s="304"/>
      <c r="GD317" s="304"/>
      <c r="GE317" s="304"/>
      <c r="GF317" s="304"/>
      <c r="GG317" s="304"/>
      <c r="GH317" s="304"/>
      <c r="GI317" s="304"/>
      <c r="GJ317" s="304"/>
      <c r="GK317" s="304"/>
      <c r="GL317" s="304"/>
      <c r="GM317" s="304"/>
      <c r="GN317" s="304"/>
      <c r="GO317" s="304"/>
      <c r="GP317" s="304"/>
      <c r="GQ317" s="304"/>
      <c r="GR317" s="304"/>
      <c r="GS317" s="304"/>
      <c r="GT317" s="304"/>
      <c r="GU317" s="304"/>
      <c r="GV317" s="304"/>
      <c r="GW317" s="304"/>
      <c r="GX317" s="304"/>
      <c r="GY317" s="304"/>
      <c r="GZ317" s="304"/>
      <c r="HA317" s="304"/>
      <c r="HB317" s="304"/>
      <c r="HC317" s="304"/>
      <c r="HD317" s="304"/>
      <c r="HE317" s="304"/>
      <c r="HF317" s="304"/>
      <c r="HG317" s="304"/>
      <c r="HH317" s="304"/>
      <c r="HI317" s="304"/>
      <c r="HJ317" s="304"/>
      <c r="HK317" s="304"/>
      <c r="HL317" s="304"/>
      <c r="HM317" s="304"/>
      <c r="HN317" s="304"/>
      <c r="HO317" s="304"/>
      <c r="HP317" s="304"/>
      <c r="HQ317" s="304"/>
      <c r="HR317" s="304"/>
      <c r="HS317" s="304"/>
      <c r="HT317" s="304"/>
      <c r="HU317" s="304"/>
      <c r="HV317" s="304"/>
      <c r="HW317" s="304"/>
      <c r="HX317" s="304"/>
      <c r="HY317" s="304"/>
      <c r="HZ317" s="304"/>
      <c r="IA317" s="304"/>
      <c r="IB317" s="304"/>
      <c r="IC317" s="304"/>
      <c r="ID317" s="304"/>
      <c r="IE317" s="304"/>
      <c r="IF317" s="304"/>
      <c r="IG317" s="304"/>
      <c r="IH317" s="304"/>
      <c r="II317" s="304"/>
      <c r="IJ317" s="304"/>
      <c r="IK317" s="304"/>
      <c r="IL317" s="304"/>
      <c r="IM317" s="304"/>
      <c r="IN317" s="304"/>
      <c r="IO317" s="304"/>
      <c r="IP317" s="304"/>
      <c r="IQ317" s="304"/>
      <c r="IR317" s="304"/>
      <c r="IS317" s="304"/>
      <c r="IT317" s="304"/>
      <c r="IU317" s="304"/>
      <c r="IV317" s="304"/>
    </row>
    <row r="318" spans="1:256" ht="23.25">
      <c r="A318" s="293" t="s">
        <v>518</v>
      </c>
      <c r="B318" s="372" t="s">
        <v>519</v>
      </c>
      <c r="C318" s="373">
        <f t="shared" si="54"/>
        <v>0.05139610241516213</v>
      </c>
      <c r="D318" s="296"/>
      <c r="E318" s="337">
        <v>13803.13</v>
      </c>
      <c r="F318" s="297"/>
      <c r="G318" s="374">
        <f t="shared" si="29"/>
        <v>1</v>
      </c>
      <c r="H318" s="337">
        <f t="shared" si="53"/>
        <v>13803.13</v>
      </c>
      <c r="I318" s="337">
        <v>13803.13</v>
      </c>
      <c r="J318" s="374">
        <f t="shared" si="38"/>
        <v>0</v>
      </c>
      <c r="K318" s="375">
        <v>0</v>
      </c>
      <c r="M318" s="174">
        <f t="shared" si="1"/>
        <v>0</v>
      </c>
      <c r="O318" s="144"/>
      <c r="FH318" s="304"/>
      <c r="FI318" s="304"/>
      <c r="FJ318" s="304"/>
      <c r="FK318" s="304"/>
      <c r="FL318" s="304"/>
      <c r="FM318" s="304"/>
      <c r="FN318" s="304"/>
      <c r="FO318" s="304"/>
      <c r="FP318" s="304"/>
      <c r="FQ318" s="304"/>
      <c r="FR318" s="304"/>
      <c r="FS318" s="304"/>
      <c r="FT318" s="304"/>
      <c r="FU318" s="304"/>
      <c r="FV318" s="304"/>
      <c r="FW318" s="304"/>
      <c r="FX318" s="304"/>
      <c r="FY318" s="304"/>
      <c r="FZ318" s="304"/>
      <c r="GA318" s="304"/>
      <c r="GB318" s="304"/>
      <c r="GC318" s="304"/>
      <c r="GD318" s="304"/>
      <c r="GE318" s="304"/>
      <c r="GF318" s="304"/>
      <c r="GG318" s="304"/>
      <c r="GH318" s="304"/>
      <c r="GI318" s="304"/>
      <c r="GJ318" s="304"/>
      <c r="GK318" s="304"/>
      <c r="GL318" s="304"/>
      <c r="GM318" s="304"/>
      <c r="GN318" s="304"/>
      <c r="GO318" s="304"/>
      <c r="GP318" s="304"/>
      <c r="GQ318" s="304"/>
      <c r="GR318" s="304"/>
      <c r="GS318" s="304"/>
      <c r="GT318" s="304"/>
      <c r="GU318" s="304"/>
      <c r="GV318" s="304"/>
      <c r="GW318" s="304"/>
      <c r="GX318" s="304"/>
      <c r="GY318" s="304"/>
      <c r="GZ318" s="304"/>
      <c r="HA318" s="304"/>
      <c r="HB318" s="304"/>
      <c r="HC318" s="304"/>
      <c r="HD318" s="304"/>
      <c r="HE318" s="304"/>
      <c r="HF318" s="304"/>
      <c r="HG318" s="304"/>
      <c r="HH318" s="304"/>
      <c r="HI318" s="304"/>
      <c r="HJ318" s="304"/>
      <c r="HK318" s="304"/>
      <c r="HL318" s="304"/>
      <c r="HM318" s="304"/>
      <c r="HN318" s="304"/>
      <c r="HO318" s="304"/>
      <c r="HP318" s="304"/>
      <c r="HQ318" s="304"/>
      <c r="HR318" s="304"/>
      <c r="HS318" s="304"/>
      <c r="HT318" s="304"/>
      <c r="HU318" s="304"/>
      <c r="HV318" s="304"/>
      <c r="HW318" s="304"/>
      <c r="HX318" s="304"/>
      <c r="HY318" s="304"/>
      <c r="HZ318" s="304"/>
      <c r="IA318" s="304"/>
      <c r="IB318" s="304"/>
      <c r="IC318" s="304"/>
      <c r="ID318" s="304"/>
      <c r="IE318" s="304"/>
      <c r="IF318" s="304"/>
      <c r="IG318" s="304"/>
      <c r="IH318" s="304"/>
      <c r="II318" s="304"/>
      <c r="IJ318" s="304"/>
      <c r="IK318" s="304"/>
      <c r="IL318" s="304"/>
      <c r="IM318" s="304"/>
      <c r="IN318" s="304"/>
      <c r="IO318" s="304"/>
      <c r="IP318" s="304"/>
      <c r="IQ318" s="304"/>
      <c r="IR318" s="304"/>
      <c r="IS318" s="304"/>
      <c r="IT318" s="304"/>
      <c r="IU318" s="304"/>
      <c r="IV318" s="304"/>
    </row>
    <row r="319" spans="1:15" ht="23.25">
      <c r="A319" s="243" t="s">
        <v>64</v>
      </c>
      <c r="B319" s="252" t="s">
        <v>520</v>
      </c>
      <c r="C319" s="253">
        <v>0.37</v>
      </c>
      <c r="D319" s="246">
        <v>236591.875</v>
      </c>
      <c r="E319" s="257">
        <f>$E$311*C319</f>
        <v>236591.875</v>
      </c>
      <c r="F319" s="247"/>
      <c r="G319" s="256">
        <f t="shared" si="29"/>
        <v>1.0000000211334392</v>
      </c>
      <c r="H319" s="257">
        <f>+H320+H324+H329-0.01</f>
        <v>236591.88</v>
      </c>
      <c r="I319" s="257">
        <f>+I320+I324+I329-0.01</f>
        <v>236591.88</v>
      </c>
      <c r="J319" s="256">
        <f t="shared" si="38"/>
        <v>0</v>
      </c>
      <c r="K319" s="258">
        <f>SUM(K320,K324,K329)</f>
        <v>0</v>
      </c>
      <c r="M319" s="174">
        <f t="shared" si="1"/>
        <v>0</v>
      </c>
      <c r="O319" s="144"/>
    </row>
    <row r="320" spans="1:256" ht="23.25">
      <c r="A320" s="293" t="s">
        <v>132</v>
      </c>
      <c r="B320" s="294" t="s">
        <v>521</v>
      </c>
      <c r="C320" s="295">
        <v>0.2</v>
      </c>
      <c r="D320" s="296"/>
      <c r="E320" s="299">
        <f>0.2*E319</f>
        <v>47318.375</v>
      </c>
      <c r="F320" s="297"/>
      <c r="G320" s="298">
        <f t="shared" si="29"/>
        <v>1.0000001056671959</v>
      </c>
      <c r="H320" s="299">
        <f aca="true" t="shared" si="55" ref="H320:H323">+I320+K320</f>
        <v>47318.38</v>
      </c>
      <c r="I320" s="299">
        <f>+I321+I322+I323</f>
        <v>47318.38</v>
      </c>
      <c r="J320" s="298">
        <f t="shared" si="38"/>
        <v>0</v>
      </c>
      <c r="K320" s="300">
        <f>SUM(K321:K323)</f>
        <v>0</v>
      </c>
      <c r="M320" s="174">
        <f t="shared" si="1"/>
        <v>0</v>
      </c>
      <c r="O320" s="144"/>
      <c r="FH320" s="304"/>
      <c r="FI320" s="304"/>
      <c r="FJ320" s="304"/>
      <c r="FK320" s="304"/>
      <c r="FL320" s="304"/>
      <c r="FM320" s="304"/>
      <c r="FN320" s="304"/>
      <c r="FO320" s="304"/>
      <c r="FP320" s="304"/>
      <c r="FQ320" s="304"/>
      <c r="FR320" s="304"/>
      <c r="FS320" s="304"/>
      <c r="FT320" s="304"/>
      <c r="FU320" s="304"/>
      <c r="FV320" s="304"/>
      <c r="FW320" s="304"/>
      <c r="FX320" s="304"/>
      <c r="FY320" s="304"/>
      <c r="FZ320" s="304"/>
      <c r="GA320" s="304"/>
      <c r="GB320" s="304"/>
      <c r="GC320" s="304"/>
      <c r="GD320" s="304"/>
      <c r="GE320" s="304"/>
      <c r="GF320" s="304"/>
      <c r="GG320" s="304"/>
      <c r="GH320" s="304"/>
      <c r="GI320" s="304"/>
      <c r="GJ320" s="304"/>
      <c r="GK320" s="304"/>
      <c r="GL320" s="304"/>
      <c r="GM320" s="304"/>
      <c r="GN320" s="304"/>
      <c r="GO320" s="304"/>
      <c r="GP320" s="304"/>
      <c r="GQ320" s="304"/>
      <c r="GR320" s="304"/>
      <c r="GS320" s="304"/>
      <c r="GT320" s="304"/>
      <c r="GU320" s="304"/>
      <c r="GV320" s="304"/>
      <c r="GW320" s="304"/>
      <c r="GX320" s="304"/>
      <c r="GY320" s="304"/>
      <c r="GZ320" s="304"/>
      <c r="HA320" s="304"/>
      <c r="HB320" s="304"/>
      <c r="HC320" s="304"/>
      <c r="HD320" s="304"/>
      <c r="HE320" s="304"/>
      <c r="HF320" s="304"/>
      <c r="HG320" s="304"/>
      <c r="HH320" s="304"/>
      <c r="HI320" s="304"/>
      <c r="HJ320" s="304"/>
      <c r="HK320" s="304"/>
      <c r="HL320" s="304"/>
      <c r="HM320" s="304"/>
      <c r="HN320" s="304"/>
      <c r="HO320" s="304"/>
      <c r="HP320" s="304"/>
      <c r="HQ320" s="304"/>
      <c r="HR320" s="304"/>
      <c r="HS320" s="304"/>
      <c r="HT320" s="304"/>
      <c r="HU320" s="304"/>
      <c r="HV320" s="304"/>
      <c r="HW320" s="304"/>
      <c r="HX320" s="304"/>
      <c r="HY320" s="304"/>
      <c r="HZ320" s="304"/>
      <c r="IA320" s="304"/>
      <c r="IB320" s="304"/>
      <c r="IC320" s="304"/>
      <c r="ID320" s="304"/>
      <c r="IE320" s="304"/>
      <c r="IF320" s="304"/>
      <c r="IG320" s="304"/>
      <c r="IH320" s="304"/>
      <c r="II320" s="304"/>
      <c r="IJ320" s="304"/>
      <c r="IK320" s="304"/>
      <c r="IL320" s="304"/>
      <c r="IM320" s="304"/>
      <c r="IN320" s="304"/>
      <c r="IO320" s="304"/>
      <c r="IP320" s="304"/>
      <c r="IQ320" s="304"/>
      <c r="IR320" s="304"/>
      <c r="IS320" s="304"/>
      <c r="IT320" s="304"/>
      <c r="IU320" s="304"/>
      <c r="IV320" s="304"/>
    </row>
    <row r="321" spans="1:256" ht="23.25">
      <c r="A321" s="421" t="s">
        <v>522</v>
      </c>
      <c r="B321" s="354" t="s">
        <v>523</v>
      </c>
      <c r="C321" s="422">
        <f aca="true" t="shared" si="56" ref="C321:C323">+E321/$E$320</f>
        <v>0.7608038103590835</v>
      </c>
      <c r="D321" s="423"/>
      <c r="E321" s="343">
        <v>36000</v>
      </c>
      <c r="F321" s="424"/>
      <c r="G321" s="376">
        <f t="shared" si="29"/>
        <v>1</v>
      </c>
      <c r="H321" s="343">
        <f t="shared" si="55"/>
        <v>36000</v>
      </c>
      <c r="I321" s="343">
        <v>36000</v>
      </c>
      <c r="J321" s="376">
        <f t="shared" si="38"/>
        <v>0</v>
      </c>
      <c r="K321" s="348">
        <v>0</v>
      </c>
      <c r="M321" s="174">
        <f t="shared" si="1"/>
        <v>0</v>
      </c>
      <c r="O321" s="144"/>
      <c r="FH321" s="304"/>
      <c r="FI321" s="304"/>
      <c r="FJ321" s="304"/>
      <c r="FK321" s="304"/>
      <c r="FL321" s="304"/>
      <c r="FM321" s="304"/>
      <c r="FN321" s="304"/>
      <c r="FO321" s="304"/>
      <c r="FP321" s="304"/>
      <c r="FQ321" s="304"/>
      <c r="FR321" s="304"/>
      <c r="FS321" s="304"/>
      <c r="FT321" s="304"/>
      <c r="FU321" s="304"/>
      <c r="FV321" s="304"/>
      <c r="FW321" s="304"/>
      <c r="FX321" s="304"/>
      <c r="FY321" s="304"/>
      <c r="FZ321" s="304"/>
      <c r="GA321" s="304"/>
      <c r="GB321" s="304"/>
      <c r="GC321" s="304"/>
      <c r="GD321" s="304"/>
      <c r="GE321" s="304"/>
      <c r="GF321" s="304"/>
      <c r="GG321" s="304"/>
      <c r="GH321" s="304"/>
      <c r="GI321" s="304"/>
      <c r="GJ321" s="304"/>
      <c r="GK321" s="304"/>
      <c r="GL321" s="304"/>
      <c r="GM321" s="304"/>
      <c r="GN321" s="304"/>
      <c r="GO321" s="304"/>
      <c r="GP321" s="304"/>
      <c r="GQ321" s="304"/>
      <c r="GR321" s="304"/>
      <c r="GS321" s="304"/>
      <c r="GT321" s="304"/>
      <c r="GU321" s="304"/>
      <c r="GV321" s="304"/>
      <c r="GW321" s="304"/>
      <c r="GX321" s="304"/>
      <c r="GY321" s="304"/>
      <c r="GZ321" s="304"/>
      <c r="HA321" s="304"/>
      <c r="HB321" s="304"/>
      <c r="HC321" s="304"/>
      <c r="HD321" s="304"/>
      <c r="HE321" s="304"/>
      <c r="HF321" s="304"/>
      <c r="HG321" s="304"/>
      <c r="HH321" s="304"/>
      <c r="HI321" s="304"/>
      <c r="HJ321" s="304"/>
      <c r="HK321" s="304"/>
      <c r="HL321" s="304"/>
      <c r="HM321" s="304"/>
      <c r="HN321" s="304"/>
      <c r="HO321" s="304"/>
      <c r="HP321" s="304"/>
      <c r="HQ321" s="304"/>
      <c r="HR321" s="304"/>
      <c r="HS321" s="304"/>
      <c r="HT321" s="304"/>
      <c r="HU321" s="304"/>
      <c r="HV321" s="304"/>
      <c r="HW321" s="304"/>
      <c r="HX321" s="304"/>
      <c r="HY321" s="304"/>
      <c r="HZ321" s="304"/>
      <c r="IA321" s="304"/>
      <c r="IB321" s="304"/>
      <c r="IC321" s="304"/>
      <c r="ID321" s="304"/>
      <c r="IE321" s="304"/>
      <c r="IF321" s="304"/>
      <c r="IG321" s="304"/>
      <c r="IH321" s="304"/>
      <c r="II321" s="304"/>
      <c r="IJ321" s="304"/>
      <c r="IK321" s="304"/>
      <c r="IL321" s="304"/>
      <c r="IM321" s="304"/>
      <c r="IN321" s="304"/>
      <c r="IO321" s="304"/>
      <c r="IP321" s="304"/>
      <c r="IQ321" s="304"/>
      <c r="IR321" s="304"/>
      <c r="IS321" s="304"/>
      <c r="IT321" s="304"/>
      <c r="IU321" s="304"/>
      <c r="IV321" s="304"/>
    </row>
    <row r="322" spans="1:256" ht="23.25">
      <c r="A322" s="421" t="s">
        <v>524</v>
      </c>
      <c r="B322" s="354" t="s">
        <v>525</v>
      </c>
      <c r="C322" s="422">
        <f t="shared" si="56"/>
        <v>0.1969294169548299</v>
      </c>
      <c r="D322" s="423"/>
      <c r="E322" s="343">
        <v>9318.38</v>
      </c>
      <c r="F322" s="424"/>
      <c r="G322" s="376">
        <f t="shared" si="29"/>
        <v>1</v>
      </c>
      <c r="H322" s="343">
        <f t="shared" si="55"/>
        <v>9318.38</v>
      </c>
      <c r="I322" s="343">
        <v>9318.38</v>
      </c>
      <c r="J322" s="376">
        <f t="shared" si="38"/>
        <v>0</v>
      </c>
      <c r="K322" s="348">
        <v>0</v>
      </c>
      <c r="M322" s="174">
        <f t="shared" si="1"/>
        <v>0</v>
      </c>
      <c r="O322" s="144"/>
      <c r="FH322" s="304"/>
      <c r="FI322" s="304"/>
      <c r="FJ322" s="304"/>
      <c r="FK322" s="304"/>
      <c r="FL322" s="304"/>
      <c r="FM322" s="304"/>
      <c r="FN322" s="304"/>
      <c r="FO322" s="304"/>
      <c r="FP322" s="304"/>
      <c r="FQ322" s="304"/>
      <c r="FR322" s="304"/>
      <c r="FS322" s="304"/>
      <c r="FT322" s="304"/>
      <c r="FU322" s="304"/>
      <c r="FV322" s="304"/>
      <c r="FW322" s="304"/>
      <c r="FX322" s="304"/>
      <c r="FY322" s="304"/>
      <c r="FZ322" s="304"/>
      <c r="GA322" s="304"/>
      <c r="GB322" s="304"/>
      <c r="GC322" s="304"/>
      <c r="GD322" s="304"/>
      <c r="GE322" s="304"/>
      <c r="GF322" s="304"/>
      <c r="GG322" s="304"/>
      <c r="GH322" s="304"/>
      <c r="GI322" s="304"/>
      <c r="GJ322" s="304"/>
      <c r="GK322" s="304"/>
      <c r="GL322" s="304"/>
      <c r="GM322" s="304"/>
      <c r="GN322" s="304"/>
      <c r="GO322" s="304"/>
      <c r="GP322" s="304"/>
      <c r="GQ322" s="304"/>
      <c r="GR322" s="304"/>
      <c r="GS322" s="304"/>
      <c r="GT322" s="304"/>
      <c r="GU322" s="304"/>
      <c r="GV322" s="304"/>
      <c r="GW322" s="304"/>
      <c r="GX322" s="304"/>
      <c r="GY322" s="304"/>
      <c r="GZ322" s="304"/>
      <c r="HA322" s="304"/>
      <c r="HB322" s="304"/>
      <c r="HC322" s="304"/>
      <c r="HD322" s="304"/>
      <c r="HE322" s="304"/>
      <c r="HF322" s="304"/>
      <c r="HG322" s="304"/>
      <c r="HH322" s="304"/>
      <c r="HI322" s="304"/>
      <c r="HJ322" s="304"/>
      <c r="HK322" s="304"/>
      <c r="HL322" s="304"/>
      <c r="HM322" s="304"/>
      <c r="HN322" s="304"/>
      <c r="HO322" s="304"/>
      <c r="HP322" s="304"/>
      <c r="HQ322" s="304"/>
      <c r="HR322" s="304"/>
      <c r="HS322" s="304"/>
      <c r="HT322" s="304"/>
      <c r="HU322" s="304"/>
      <c r="HV322" s="304"/>
      <c r="HW322" s="304"/>
      <c r="HX322" s="304"/>
      <c r="HY322" s="304"/>
      <c r="HZ322" s="304"/>
      <c r="IA322" s="304"/>
      <c r="IB322" s="304"/>
      <c r="IC322" s="304"/>
      <c r="ID322" s="304"/>
      <c r="IE322" s="304"/>
      <c r="IF322" s="304"/>
      <c r="IG322" s="304"/>
      <c r="IH322" s="304"/>
      <c r="II322" s="304"/>
      <c r="IJ322" s="304"/>
      <c r="IK322" s="304"/>
      <c r="IL322" s="304"/>
      <c r="IM322" s="304"/>
      <c r="IN322" s="304"/>
      <c r="IO322" s="304"/>
      <c r="IP322" s="304"/>
      <c r="IQ322" s="304"/>
      <c r="IR322" s="304"/>
      <c r="IS322" s="304"/>
      <c r="IT322" s="304"/>
      <c r="IU322" s="304"/>
      <c r="IV322" s="304"/>
    </row>
    <row r="323" spans="1:256" ht="23.25">
      <c r="A323" s="421" t="s">
        <v>526</v>
      </c>
      <c r="B323" s="354" t="s">
        <v>527</v>
      </c>
      <c r="C323" s="422">
        <f t="shared" si="56"/>
        <v>0.04226687835328242</v>
      </c>
      <c r="D323" s="423"/>
      <c r="E323" s="343">
        <v>2000</v>
      </c>
      <c r="F323" s="424"/>
      <c r="G323" s="376">
        <f t="shared" si="29"/>
        <v>1</v>
      </c>
      <c r="H323" s="343">
        <f t="shared" si="55"/>
        <v>2000</v>
      </c>
      <c r="I323" s="343">
        <v>2000</v>
      </c>
      <c r="J323" s="376">
        <f t="shared" si="38"/>
        <v>0</v>
      </c>
      <c r="K323" s="348">
        <v>0</v>
      </c>
      <c r="M323" s="174">
        <f t="shared" si="1"/>
        <v>0</v>
      </c>
      <c r="O323" s="144"/>
      <c r="FH323" s="304"/>
      <c r="FI323" s="304"/>
      <c r="FJ323" s="304"/>
      <c r="FK323" s="304"/>
      <c r="FL323" s="304"/>
      <c r="FM323" s="304"/>
      <c r="FN323" s="304"/>
      <c r="FO323" s="304"/>
      <c r="FP323" s="304"/>
      <c r="FQ323" s="304"/>
      <c r="FR323" s="304"/>
      <c r="FS323" s="304"/>
      <c r="FT323" s="304"/>
      <c r="FU323" s="304"/>
      <c r="FV323" s="304"/>
      <c r="FW323" s="304"/>
      <c r="FX323" s="304"/>
      <c r="FY323" s="304"/>
      <c r="FZ323" s="304"/>
      <c r="GA323" s="304"/>
      <c r="GB323" s="304"/>
      <c r="GC323" s="304"/>
      <c r="GD323" s="304"/>
      <c r="GE323" s="304"/>
      <c r="GF323" s="304"/>
      <c r="GG323" s="304"/>
      <c r="GH323" s="304"/>
      <c r="GI323" s="304"/>
      <c r="GJ323" s="304"/>
      <c r="GK323" s="304"/>
      <c r="GL323" s="304"/>
      <c r="GM323" s="304"/>
      <c r="GN323" s="304"/>
      <c r="GO323" s="304"/>
      <c r="GP323" s="304"/>
      <c r="GQ323" s="304"/>
      <c r="GR323" s="304"/>
      <c r="GS323" s="304"/>
      <c r="GT323" s="304"/>
      <c r="GU323" s="304"/>
      <c r="GV323" s="304"/>
      <c r="GW323" s="304"/>
      <c r="GX323" s="304"/>
      <c r="GY323" s="304"/>
      <c r="GZ323" s="304"/>
      <c r="HA323" s="304"/>
      <c r="HB323" s="304"/>
      <c r="HC323" s="304"/>
      <c r="HD323" s="304"/>
      <c r="HE323" s="304"/>
      <c r="HF323" s="304"/>
      <c r="HG323" s="304"/>
      <c r="HH323" s="304"/>
      <c r="HI323" s="304"/>
      <c r="HJ323" s="304"/>
      <c r="HK323" s="304"/>
      <c r="HL323" s="304"/>
      <c r="HM323" s="304"/>
      <c r="HN323" s="304"/>
      <c r="HO323" s="304"/>
      <c r="HP323" s="304"/>
      <c r="HQ323" s="304"/>
      <c r="HR323" s="304"/>
      <c r="HS323" s="304"/>
      <c r="HT323" s="304"/>
      <c r="HU323" s="304"/>
      <c r="HV323" s="304"/>
      <c r="HW323" s="304"/>
      <c r="HX323" s="304"/>
      <c r="HY323" s="304"/>
      <c r="HZ323" s="304"/>
      <c r="IA323" s="304"/>
      <c r="IB323" s="304"/>
      <c r="IC323" s="304"/>
      <c r="ID323" s="304"/>
      <c r="IE323" s="304"/>
      <c r="IF323" s="304"/>
      <c r="IG323" s="304"/>
      <c r="IH323" s="304"/>
      <c r="II323" s="304"/>
      <c r="IJ323" s="304"/>
      <c r="IK323" s="304"/>
      <c r="IL323" s="304"/>
      <c r="IM323" s="304"/>
      <c r="IN323" s="304"/>
      <c r="IO323" s="304"/>
      <c r="IP323" s="304"/>
      <c r="IQ323" s="304"/>
      <c r="IR323" s="304"/>
      <c r="IS323" s="304"/>
      <c r="IT323" s="304"/>
      <c r="IU323" s="304"/>
      <c r="IV323" s="304"/>
    </row>
    <row r="324" spans="1:256" ht="23.25">
      <c r="A324" s="293" t="s">
        <v>134</v>
      </c>
      <c r="B324" s="294" t="s">
        <v>528</v>
      </c>
      <c r="C324" s="295">
        <f>+E324:E325/E319</f>
        <v>0.2</v>
      </c>
      <c r="D324" s="296"/>
      <c r="E324" s="299">
        <f>0.2*E319</f>
        <v>47318.375</v>
      </c>
      <c r="F324" s="297"/>
      <c r="G324" s="298">
        <f t="shared" si="29"/>
        <v>1.0000001056671959</v>
      </c>
      <c r="H324" s="299">
        <f>+H325+H326+H327+H328-0.01</f>
        <v>47318.38</v>
      </c>
      <c r="I324" s="299">
        <f>+I325+I326+I327+I328-0.01</f>
        <v>47318.38</v>
      </c>
      <c r="J324" s="298">
        <f t="shared" si="38"/>
        <v>0</v>
      </c>
      <c r="K324" s="300">
        <f>SUM(K325:K328)</f>
        <v>0</v>
      </c>
      <c r="M324" s="174">
        <f t="shared" si="1"/>
        <v>0</v>
      </c>
      <c r="O324" s="144"/>
      <c r="FH324" s="304"/>
      <c r="FI324" s="304"/>
      <c r="FJ324" s="304"/>
      <c r="FK324" s="304"/>
      <c r="FL324" s="304"/>
      <c r="FM324" s="304"/>
      <c r="FN324" s="304"/>
      <c r="FO324" s="304"/>
      <c r="FP324" s="304"/>
      <c r="FQ324" s="304"/>
      <c r="FR324" s="304"/>
      <c r="FS324" s="304"/>
      <c r="FT324" s="304"/>
      <c r="FU324" s="304"/>
      <c r="FV324" s="304"/>
      <c r="FW324" s="304"/>
      <c r="FX324" s="304"/>
      <c r="FY324" s="304"/>
      <c r="FZ324" s="304"/>
      <c r="GA324" s="304"/>
      <c r="GB324" s="304"/>
      <c r="GC324" s="304"/>
      <c r="GD324" s="304"/>
      <c r="GE324" s="304"/>
      <c r="GF324" s="304"/>
      <c r="GG324" s="304"/>
      <c r="GH324" s="304"/>
      <c r="GI324" s="304"/>
      <c r="GJ324" s="304"/>
      <c r="GK324" s="304"/>
      <c r="GL324" s="304"/>
      <c r="GM324" s="304"/>
      <c r="GN324" s="304"/>
      <c r="GO324" s="304"/>
      <c r="GP324" s="304"/>
      <c r="GQ324" s="304"/>
      <c r="GR324" s="304"/>
      <c r="GS324" s="304"/>
      <c r="GT324" s="304"/>
      <c r="GU324" s="304"/>
      <c r="GV324" s="304"/>
      <c r="GW324" s="304"/>
      <c r="GX324" s="304"/>
      <c r="GY324" s="304"/>
      <c r="GZ324" s="304"/>
      <c r="HA324" s="304"/>
      <c r="HB324" s="304"/>
      <c r="HC324" s="304"/>
      <c r="HD324" s="304"/>
      <c r="HE324" s="304"/>
      <c r="HF324" s="304"/>
      <c r="HG324" s="304"/>
      <c r="HH324" s="304"/>
      <c r="HI324" s="304"/>
      <c r="HJ324" s="304"/>
      <c r="HK324" s="304"/>
      <c r="HL324" s="304"/>
      <c r="HM324" s="304"/>
      <c r="HN324" s="304"/>
      <c r="HO324" s="304"/>
      <c r="HP324" s="304"/>
      <c r="HQ324" s="304"/>
      <c r="HR324" s="304"/>
      <c r="HS324" s="304"/>
      <c r="HT324" s="304"/>
      <c r="HU324" s="304"/>
      <c r="HV324" s="304"/>
      <c r="HW324" s="304"/>
      <c r="HX324" s="304"/>
      <c r="HY324" s="304"/>
      <c r="HZ324" s="304"/>
      <c r="IA324" s="304"/>
      <c r="IB324" s="304"/>
      <c r="IC324" s="304"/>
      <c r="ID324" s="304"/>
      <c r="IE324" s="304"/>
      <c r="IF324" s="304"/>
      <c r="IG324" s="304"/>
      <c r="IH324" s="304"/>
      <c r="II324" s="304"/>
      <c r="IJ324" s="304"/>
      <c r="IK324" s="304"/>
      <c r="IL324" s="304"/>
      <c r="IM324" s="304"/>
      <c r="IN324" s="304"/>
      <c r="IO324" s="304"/>
      <c r="IP324" s="304"/>
      <c r="IQ324" s="304"/>
      <c r="IR324" s="304"/>
      <c r="IS324" s="304"/>
      <c r="IT324" s="304"/>
      <c r="IU324" s="304"/>
      <c r="IV324" s="304"/>
    </row>
    <row r="325" spans="1:256" ht="23.25">
      <c r="A325" s="421" t="s">
        <v>529</v>
      </c>
      <c r="B325" s="354" t="s">
        <v>523</v>
      </c>
      <c r="C325" s="422">
        <f aca="true" t="shared" si="57" ref="C325:C328">+E325/$E$324</f>
        <v>0.6762700536525187</v>
      </c>
      <c r="D325" s="423"/>
      <c r="E325" s="343">
        <v>32000</v>
      </c>
      <c r="F325" s="424"/>
      <c r="G325" s="376">
        <f t="shared" si="29"/>
        <v>1</v>
      </c>
      <c r="H325" s="343">
        <f aca="true" t="shared" si="58" ref="H325:H328">+I325+K325</f>
        <v>32000</v>
      </c>
      <c r="I325" s="343">
        <v>32000</v>
      </c>
      <c r="J325" s="376">
        <f t="shared" si="38"/>
        <v>0</v>
      </c>
      <c r="K325" s="348">
        <v>0</v>
      </c>
      <c r="M325" s="174">
        <f t="shared" si="1"/>
        <v>0</v>
      </c>
      <c r="O325" s="144"/>
      <c r="FH325" s="304"/>
      <c r="FI325" s="304"/>
      <c r="FJ325" s="304"/>
      <c r="FK325" s="304"/>
      <c r="FL325" s="304"/>
      <c r="FM325" s="304"/>
      <c r="FN325" s="304"/>
      <c r="FO325" s="304"/>
      <c r="FP325" s="304"/>
      <c r="FQ325" s="304"/>
      <c r="FR325" s="304"/>
      <c r="FS325" s="304"/>
      <c r="FT325" s="304"/>
      <c r="FU325" s="304"/>
      <c r="FV325" s="304"/>
      <c r="FW325" s="304"/>
      <c r="FX325" s="304"/>
      <c r="FY325" s="304"/>
      <c r="FZ325" s="304"/>
      <c r="GA325" s="304"/>
      <c r="GB325" s="304"/>
      <c r="GC325" s="304"/>
      <c r="GD325" s="304"/>
      <c r="GE325" s="304"/>
      <c r="GF325" s="304"/>
      <c r="GG325" s="304"/>
      <c r="GH325" s="304"/>
      <c r="GI325" s="304"/>
      <c r="GJ325" s="304"/>
      <c r="GK325" s="304"/>
      <c r="GL325" s="304"/>
      <c r="GM325" s="304"/>
      <c r="GN325" s="304"/>
      <c r="GO325" s="304"/>
      <c r="GP325" s="304"/>
      <c r="GQ325" s="304"/>
      <c r="GR325" s="304"/>
      <c r="GS325" s="304"/>
      <c r="GT325" s="304"/>
      <c r="GU325" s="304"/>
      <c r="GV325" s="304"/>
      <c r="GW325" s="304"/>
      <c r="GX325" s="304"/>
      <c r="GY325" s="304"/>
      <c r="GZ325" s="304"/>
      <c r="HA325" s="304"/>
      <c r="HB325" s="304"/>
      <c r="HC325" s="304"/>
      <c r="HD325" s="304"/>
      <c r="HE325" s="304"/>
      <c r="HF325" s="304"/>
      <c r="HG325" s="304"/>
      <c r="HH325" s="304"/>
      <c r="HI325" s="304"/>
      <c r="HJ325" s="304"/>
      <c r="HK325" s="304"/>
      <c r="HL325" s="304"/>
      <c r="HM325" s="304"/>
      <c r="HN325" s="304"/>
      <c r="HO325" s="304"/>
      <c r="HP325" s="304"/>
      <c r="HQ325" s="304"/>
      <c r="HR325" s="304"/>
      <c r="HS325" s="304"/>
      <c r="HT325" s="304"/>
      <c r="HU325" s="304"/>
      <c r="HV325" s="304"/>
      <c r="HW325" s="304"/>
      <c r="HX325" s="304"/>
      <c r="HY325" s="304"/>
      <c r="HZ325" s="304"/>
      <c r="IA325" s="304"/>
      <c r="IB325" s="304"/>
      <c r="IC325" s="304"/>
      <c r="ID325" s="304"/>
      <c r="IE325" s="304"/>
      <c r="IF325" s="304"/>
      <c r="IG325" s="304"/>
      <c r="IH325" s="304"/>
      <c r="II325" s="304"/>
      <c r="IJ325" s="304"/>
      <c r="IK325" s="304"/>
      <c r="IL325" s="304"/>
      <c r="IM325" s="304"/>
      <c r="IN325" s="304"/>
      <c r="IO325" s="304"/>
      <c r="IP325" s="304"/>
      <c r="IQ325" s="304"/>
      <c r="IR325" s="304"/>
      <c r="IS325" s="304"/>
      <c r="IT325" s="304"/>
      <c r="IU325" s="304"/>
      <c r="IV325" s="304"/>
    </row>
    <row r="326" spans="1:256" ht="23.25">
      <c r="A326" s="421" t="s">
        <v>530</v>
      </c>
      <c r="B326" s="354" t="s">
        <v>531</v>
      </c>
      <c r="C326" s="422">
        <f t="shared" si="57"/>
        <v>0.1546625386015475</v>
      </c>
      <c r="D326" s="423"/>
      <c r="E326" s="343">
        <v>7318.38</v>
      </c>
      <c r="F326" s="424"/>
      <c r="G326" s="376">
        <f t="shared" si="29"/>
        <v>1.0000013664226237</v>
      </c>
      <c r="H326" s="343">
        <f t="shared" si="58"/>
        <v>7318.39</v>
      </c>
      <c r="I326" s="343">
        <v>7318.39</v>
      </c>
      <c r="J326" s="376">
        <f t="shared" si="38"/>
        <v>0</v>
      </c>
      <c r="K326" s="348">
        <v>0</v>
      </c>
      <c r="M326" s="174">
        <f t="shared" si="1"/>
        <v>0</v>
      </c>
      <c r="O326" s="144"/>
      <c r="FH326" s="304"/>
      <c r="FI326" s="304"/>
      <c r="FJ326" s="304"/>
      <c r="FK326" s="304"/>
      <c r="FL326" s="304"/>
      <c r="FM326" s="304"/>
      <c r="FN326" s="304"/>
      <c r="FO326" s="304"/>
      <c r="FP326" s="304"/>
      <c r="FQ326" s="304"/>
      <c r="FR326" s="304"/>
      <c r="FS326" s="304"/>
      <c r="FT326" s="304"/>
      <c r="FU326" s="304"/>
      <c r="FV326" s="304"/>
      <c r="FW326" s="304"/>
      <c r="FX326" s="304"/>
      <c r="FY326" s="304"/>
      <c r="FZ326" s="304"/>
      <c r="GA326" s="304"/>
      <c r="GB326" s="304"/>
      <c r="GC326" s="304"/>
      <c r="GD326" s="304"/>
      <c r="GE326" s="304"/>
      <c r="GF326" s="304"/>
      <c r="GG326" s="304"/>
      <c r="GH326" s="304"/>
      <c r="GI326" s="304"/>
      <c r="GJ326" s="304"/>
      <c r="GK326" s="304"/>
      <c r="GL326" s="304"/>
      <c r="GM326" s="304"/>
      <c r="GN326" s="304"/>
      <c r="GO326" s="304"/>
      <c r="GP326" s="304"/>
      <c r="GQ326" s="304"/>
      <c r="GR326" s="304"/>
      <c r="GS326" s="304"/>
      <c r="GT326" s="304"/>
      <c r="GU326" s="304"/>
      <c r="GV326" s="304"/>
      <c r="GW326" s="304"/>
      <c r="GX326" s="304"/>
      <c r="GY326" s="304"/>
      <c r="GZ326" s="304"/>
      <c r="HA326" s="304"/>
      <c r="HB326" s="304"/>
      <c r="HC326" s="304"/>
      <c r="HD326" s="304"/>
      <c r="HE326" s="304"/>
      <c r="HF326" s="304"/>
      <c r="HG326" s="304"/>
      <c r="HH326" s="304"/>
      <c r="HI326" s="304"/>
      <c r="HJ326" s="304"/>
      <c r="HK326" s="304"/>
      <c r="HL326" s="304"/>
      <c r="HM326" s="304"/>
      <c r="HN326" s="304"/>
      <c r="HO326" s="304"/>
      <c r="HP326" s="304"/>
      <c r="HQ326" s="304"/>
      <c r="HR326" s="304"/>
      <c r="HS326" s="304"/>
      <c r="HT326" s="304"/>
      <c r="HU326" s="304"/>
      <c r="HV326" s="304"/>
      <c r="HW326" s="304"/>
      <c r="HX326" s="304"/>
      <c r="HY326" s="304"/>
      <c r="HZ326" s="304"/>
      <c r="IA326" s="304"/>
      <c r="IB326" s="304"/>
      <c r="IC326" s="304"/>
      <c r="ID326" s="304"/>
      <c r="IE326" s="304"/>
      <c r="IF326" s="304"/>
      <c r="IG326" s="304"/>
      <c r="IH326" s="304"/>
      <c r="II326" s="304"/>
      <c r="IJ326" s="304"/>
      <c r="IK326" s="304"/>
      <c r="IL326" s="304"/>
      <c r="IM326" s="304"/>
      <c r="IN326" s="304"/>
      <c r="IO326" s="304"/>
      <c r="IP326" s="304"/>
      <c r="IQ326" s="304"/>
      <c r="IR326" s="304"/>
      <c r="IS326" s="304"/>
      <c r="IT326" s="304"/>
      <c r="IU326" s="304"/>
      <c r="IV326" s="304"/>
    </row>
    <row r="327" spans="1:256" ht="23.25">
      <c r="A327" s="421" t="s">
        <v>532</v>
      </c>
      <c r="B327" s="354" t="s">
        <v>533</v>
      </c>
      <c r="C327" s="422">
        <f t="shared" si="57"/>
        <v>0.12680063505984726</v>
      </c>
      <c r="D327" s="423"/>
      <c r="E327" s="343">
        <v>6000</v>
      </c>
      <c r="F327" s="424"/>
      <c r="G327" s="376">
        <f t="shared" si="29"/>
        <v>1</v>
      </c>
      <c r="H327" s="343">
        <f t="shared" si="58"/>
        <v>6000</v>
      </c>
      <c r="I327" s="343">
        <v>6000</v>
      </c>
      <c r="J327" s="376">
        <f t="shared" si="38"/>
        <v>0</v>
      </c>
      <c r="K327" s="348">
        <v>0</v>
      </c>
      <c r="M327" s="174">
        <f t="shared" si="1"/>
        <v>0</v>
      </c>
      <c r="O327" s="144"/>
      <c r="FH327" s="304"/>
      <c r="FI327" s="304"/>
      <c r="FJ327" s="304"/>
      <c r="FK327" s="304"/>
      <c r="FL327" s="304"/>
      <c r="FM327" s="304"/>
      <c r="FN327" s="304"/>
      <c r="FO327" s="304"/>
      <c r="FP327" s="304"/>
      <c r="FQ327" s="304"/>
      <c r="FR327" s="304"/>
      <c r="FS327" s="304"/>
      <c r="FT327" s="304"/>
      <c r="FU327" s="304"/>
      <c r="FV327" s="304"/>
      <c r="FW327" s="304"/>
      <c r="FX327" s="304"/>
      <c r="FY327" s="304"/>
      <c r="FZ327" s="304"/>
      <c r="GA327" s="304"/>
      <c r="GB327" s="304"/>
      <c r="GC327" s="304"/>
      <c r="GD327" s="304"/>
      <c r="GE327" s="304"/>
      <c r="GF327" s="304"/>
      <c r="GG327" s="304"/>
      <c r="GH327" s="304"/>
      <c r="GI327" s="304"/>
      <c r="GJ327" s="304"/>
      <c r="GK327" s="304"/>
      <c r="GL327" s="304"/>
      <c r="GM327" s="304"/>
      <c r="GN327" s="304"/>
      <c r="GO327" s="304"/>
      <c r="GP327" s="304"/>
      <c r="GQ327" s="304"/>
      <c r="GR327" s="304"/>
      <c r="GS327" s="304"/>
      <c r="GT327" s="304"/>
      <c r="GU327" s="304"/>
      <c r="GV327" s="304"/>
      <c r="GW327" s="304"/>
      <c r="GX327" s="304"/>
      <c r="GY327" s="304"/>
      <c r="GZ327" s="304"/>
      <c r="HA327" s="304"/>
      <c r="HB327" s="304"/>
      <c r="HC327" s="304"/>
      <c r="HD327" s="304"/>
      <c r="HE327" s="304"/>
      <c r="HF327" s="304"/>
      <c r="HG327" s="304"/>
      <c r="HH327" s="304"/>
      <c r="HI327" s="304"/>
      <c r="HJ327" s="304"/>
      <c r="HK327" s="304"/>
      <c r="HL327" s="304"/>
      <c r="HM327" s="304"/>
      <c r="HN327" s="304"/>
      <c r="HO327" s="304"/>
      <c r="HP327" s="304"/>
      <c r="HQ327" s="304"/>
      <c r="HR327" s="304"/>
      <c r="HS327" s="304"/>
      <c r="HT327" s="304"/>
      <c r="HU327" s="304"/>
      <c r="HV327" s="304"/>
      <c r="HW327" s="304"/>
      <c r="HX327" s="304"/>
      <c r="HY327" s="304"/>
      <c r="HZ327" s="304"/>
      <c r="IA327" s="304"/>
      <c r="IB327" s="304"/>
      <c r="IC327" s="304"/>
      <c r="ID327" s="304"/>
      <c r="IE327" s="304"/>
      <c r="IF327" s="304"/>
      <c r="IG327" s="304"/>
      <c r="IH327" s="304"/>
      <c r="II327" s="304"/>
      <c r="IJ327" s="304"/>
      <c r="IK327" s="304"/>
      <c r="IL327" s="304"/>
      <c r="IM327" s="304"/>
      <c r="IN327" s="304"/>
      <c r="IO327" s="304"/>
      <c r="IP327" s="304"/>
      <c r="IQ327" s="304"/>
      <c r="IR327" s="304"/>
      <c r="IS327" s="304"/>
      <c r="IT327" s="304"/>
      <c r="IU327" s="304"/>
      <c r="IV327" s="304"/>
    </row>
    <row r="328" spans="1:256" ht="23.25">
      <c r="A328" s="421" t="s">
        <v>534</v>
      </c>
      <c r="B328" s="354" t="s">
        <v>527</v>
      </c>
      <c r="C328" s="422">
        <f t="shared" si="57"/>
        <v>0.04226687835328242</v>
      </c>
      <c r="D328" s="423"/>
      <c r="E328" s="343">
        <v>2000</v>
      </c>
      <c r="F328" s="424"/>
      <c r="G328" s="376">
        <f t="shared" si="29"/>
        <v>1</v>
      </c>
      <c r="H328" s="343">
        <f t="shared" si="58"/>
        <v>2000</v>
      </c>
      <c r="I328" s="343">
        <v>2000</v>
      </c>
      <c r="J328" s="376">
        <f t="shared" si="38"/>
        <v>0</v>
      </c>
      <c r="K328" s="348">
        <v>0</v>
      </c>
      <c r="M328" s="174">
        <f t="shared" si="1"/>
        <v>0</v>
      </c>
      <c r="O328" s="144"/>
      <c r="FH328" s="304"/>
      <c r="FI328" s="304"/>
      <c r="FJ328" s="304"/>
      <c r="FK328" s="304"/>
      <c r="FL328" s="304"/>
      <c r="FM328" s="304"/>
      <c r="FN328" s="304"/>
      <c r="FO328" s="304"/>
      <c r="FP328" s="304"/>
      <c r="FQ328" s="304"/>
      <c r="FR328" s="304"/>
      <c r="FS328" s="304"/>
      <c r="FT328" s="304"/>
      <c r="FU328" s="304"/>
      <c r="FV328" s="304"/>
      <c r="FW328" s="304"/>
      <c r="FX328" s="304"/>
      <c r="FY328" s="304"/>
      <c r="FZ328" s="304"/>
      <c r="GA328" s="304"/>
      <c r="GB328" s="304"/>
      <c r="GC328" s="304"/>
      <c r="GD328" s="304"/>
      <c r="GE328" s="304"/>
      <c r="GF328" s="304"/>
      <c r="GG328" s="304"/>
      <c r="GH328" s="304"/>
      <c r="GI328" s="304"/>
      <c r="GJ328" s="304"/>
      <c r="GK328" s="304"/>
      <c r="GL328" s="304"/>
      <c r="GM328" s="304"/>
      <c r="GN328" s="304"/>
      <c r="GO328" s="304"/>
      <c r="GP328" s="304"/>
      <c r="GQ328" s="304"/>
      <c r="GR328" s="304"/>
      <c r="GS328" s="304"/>
      <c r="GT328" s="304"/>
      <c r="GU328" s="304"/>
      <c r="GV328" s="304"/>
      <c r="GW328" s="304"/>
      <c r="GX328" s="304"/>
      <c r="GY328" s="304"/>
      <c r="GZ328" s="304"/>
      <c r="HA328" s="304"/>
      <c r="HB328" s="304"/>
      <c r="HC328" s="304"/>
      <c r="HD328" s="304"/>
      <c r="HE328" s="304"/>
      <c r="HF328" s="304"/>
      <c r="HG328" s="304"/>
      <c r="HH328" s="304"/>
      <c r="HI328" s="304"/>
      <c r="HJ328" s="304"/>
      <c r="HK328" s="304"/>
      <c r="HL328" s="304"/>
      <c r="HM328" s="304"/>
      <c r="HN328" s="304"/>
      <c r="HO328" s="304"/>
      <c r="HP328" s="304"/>
      <c r="HQ328" s="304"/>
      <c r="HR328" s="304"/>
      <c r="HS328" s="304"/>
      <c r="HT328" s="304"/>
      <c r="HU328" s="304"/>
      <c r="HV328" s="304"/>
      <c r="HW328" s="304"/>
      <c r="HX328" s="304"/>
      <c r="HY328" s="304"/>
      <c r="HZ328" s="304"/>
      <c r="IA328" s="304"/>
      <c r="IB328" s="304"/>
      <c r="IC328" s="304"/>
      <c r="ID328" s="304"/>
      <c r="IE328" s="304"/>
      <c r="IF328" s="304"/>
      <c r="IG328" s="304"/>
      <c r="IH328" s="304"/>
      <c r="II328" s="304"/>
      <c r="IJ328" s="304"/>
      <c r="IK328" s="304"/>
      <c r="IL328" s="304"/>
      <c r="IM328" s="304"/>
      <c r="IN328" s="304"/>
      <c r="IO328" s="304"/>
      <c r="IP328" s="304"/>
      <c r="IQ328" s="304"/>
      <c r="IR328" s="304"/>
      <c r="IS328" s="304"/>
      <c r="IT328" s="304"/>
      <c r="IU328" s="304"/>
      <c r="IV328" s="304"/>
    </row>
    <row r="329" spans="1:256" ht="23.25">
      <c r="A329" s="293" t="s">
        <v>415</v>
      </c>
      <c r="B329" s="294" t="s">
        <v>535</v>
      </c>
      <c r="C329" s="295">
        <v>0.6</v>
      </c>
      <c r="D329" s="296"/>
      <c r="E329" s="299">
        <f>0.6*E319</f>
        <v>141955.125</v>
      </c>
      <c r="F329" s="297"/>
      <c r="G329" s="298">
        <f t="shared" si="29"/>
        <v>1.0000000352223986</v>
      </c>
      <c r="H329" s="299">
        <f>+H330+H331+H332+H333</f>
        <v>141955.13</v>
      </c>
      <c r="I329" s="299">
        <f>+I330+I331+I332+I333</f>
        <v>141955.13</v>
      </c>
      <c r="J329" s="298">
        <f t="shared" si="38"/>
        <v>0</v>
      </c>
      <c r="K329" s="300">
        <f>SUM(K330:K333)</f>
        <v>0</v>
      </c>
      <c r="M329" s="174">
        <f t="shared" si="1"/>
        <v>0</v>
      </c>
      <c r="O329" s="144"/>
      <c r="FH329" s="304"/>
      <c r="FI329" s="304"/>
      <c r="FJ329" s="304"/>
      <c r="FK329" s="304"/>
      <c r="FL329" s="304"/>
      <c r="FM329" s="304"/>
      <c r="FN329" s="304"/>
      <c r="FO329" s="304"/>
      <c r="FP329" s="304"/>
      <c r="FQ329" s="304"/>
      <c r="FR329" s="304"/>
      <c r="FS329" s="304"/>
      <c r="FT329" s="304"/>
      <c r="FU329" s="304"/>
      <c r="FV329" s="304"/>
      <c r="FW329" s="304"/>
      <c r="FX329" s="304"/>
      <c r="FY329" s="304"/>
      <c r="FZ329" s="304"/>
      <c r="GA329" s="304"/>
      <c r="GB329" s="304"/>
      <c r="GC329" s="304"/>
      <c r="GD329" s="304"/>
      <c r="GE329" s="304"/>
      <c r="GF329" s="304"/>
      <c r="GG329" s="304"/>
      <c r="GH329" s="304"/>
      <c r="GI329" s="304"/>
      <c r="GJ329" s="304"/>
      <c r="GK329" s="304"/>
      <c r="GL329" s="304"/>
      <c r="GM329" s="304"/>
      <c r="GN329" s="304"/>
      <c r="GO329" s="304"/>
      <c r="GP329" s="304"/>
      <c r="GQ329" s="304"/>
      <c r="GR329" s="304"/>
      <c r="GS329" s="304"/>
      <c r="GT329" s="304"/>
      <c r="GU329" s="304"/>
      <c r="GV329" s="304"/>
      <c r="GW329" s="304"/>
      <c r="GX329" s="304"/>
      <c r="GY329" s="304"/>
      <c r="GZ329" s="304"/>
      <c r="HA329" s="304"/>
      <c r="HB329" s="304"/>
      <c r="HC329" s="304"/>
      <c r="HD329" s="304"/>
      <c r="HE329" s="304"/>
      <c r="HF329" s="304"/>
      <c r="HG329" s="304"/>
      <c r="HH329" s="304"/>
      <c r="HI329" s="304"/>
      <c r="HJ329" s="304"/>
      <c r="HK329" s="304"/>
      <c r="HL329" s="304"/>
      <c r="HM329" s="304"/>
      <c r="HN329" s="304"/>
      <c r="HO329" s="304"/>
      <c r="HP329" s="304"/>
      <c r="HQ329" s="304"/>
      <c r="HR329" s="304"/>
      <c r="HS329" s="304"/>
      <c r="HT329" s="304"/>
      <c r="HU329" s="304"/>
      <c r="HV329" s="304"/>
      <c r="HW329" s="304"/>
      <c r="HX329" s="304"/>
      <c r="HY329" s="304"/>
      <c r="HZ329" s="304"/>
      <c r="IA329" s="304"/>
      <c r="IB329" s="304"/>
      <c r="IC329" s="304"/>
      <c r="ID329" s="304"/>
      <c r="IE329" s="304"/>
      <c r="IF329" s="304"/>
      <c r="IG329" s="304"/>
      <c r="IH329" s="304"/>
      <c r="II329" s="304"/>
      <c r="IJ329" s="304"/>
      <c r="IK329" s="304"/>
      <c r="IL329" s="304"/>
      <c r="IM329" s="304"/>
      <c r="IN329" s="304"/>
      <c r="IO329" s="304"/>
      <c r="IP329" s="304"/>
      <c r="IQ329" s="304"/>
      <c r="IR329" s="304"/>
      <c r="IS329" s="304"/>
      <c r="IT329" s="304"/>
      <c r="IU329" s="304"/>
      <c r="IV329" s="304"/>
    </row>
    <row r="330" spans="1:256" ht="23.25">
      <c r="A330" s="421" t="s">
        <v>536</v>
      </c>
      <c r="B330" s="354" t="s">
        <v>523</v>
      </c>
      <c r="C330" s="355">
        <f aca="true" t="shared" si="59" ref="C330:C333">+E330/$E$329</f>
        <v>0.6548205286705923</v>
      </c>
      <c r="D330" s="423"/>
      <c r="E330" s="343">
        <v>92955.13</v>
      </c>
      <c r="F330" s="424"/>
      <c r="G330" s="376">
        <f t="shared" si="29"/>
        <v>1</v>
      </c>
      <c r="H330" s="343">
        <f aca="true" t="shared" si="60" ref="H330:H333">+I330+K330</f>
        <v>92955.13</v>
      </c>
      <c r="I330" s="343">
        <v>92955.13</v>
      </c>
      <c r="J330" s="376">
        <f t="shared" si="38"/>
        <v>0</v>
      </c>
      <c r="K330" s="348">
        <v>0</v>
      </c>
      <c r="M330" s="174">
        <f t="shared" si="1"/>
        <v>0</v>
      </c>
      <c r="O330" s="144"/>
      <c r="FH330" s="304"/>
      <c r="FI330" s="304"/>
      <c r="FJ330" s="304"/>
      <c r="FK330" s="304"/>
      <c r="FL330" s="304"/>
      <c r="FM330" s="304"/>
      <c r="FN330" s="304"/>
      <c r="FO330" s="304"/>
      <c r="FP330" s="304"/>
      <c r="FQ330" s="304"/>
      <c r="FR330" s="304"/>
      <c r="FS330" s="304"/>
      <c r="FT330" s="304"/>
      <c r="FU330" s="304"/>
      <c r="FV330" s="304"/>
      <c r="FW330" s="304"/>
      <c r="FX330" s="304"/>
      <c r="FY330" s="304"/>
      <c r="FZ330" s="304"/>
      <c r="GA330" s="304"/>
      <c r="GB330" s="304"/>
      <c r="GC330" s="304"/>
      <c r="GD330" s="304"/>
      <c r="GE330" s="304"/>
      <c r="GF330" s="304"/>
      <c r="GG330" s="304"/>
      <c r="GH330" s="304"/>
      <c r="GI330" s="304"/>
      <c r="GJ330" s="304"/>
      <c r="GK330" s="304"/>
      <c r="GL330" s="304"/>
      <c r="GM330" s="304"/>
      <c r="GN330" s="304"/>
      <c r="GO330" s="304"/>
      <c r="GP330" s="304"/>
      <c r="GQ330" s="304"/>
      <c r="GR330" s="304"/>
      <c r="GS330" s="304"/>
      <c r="GT330" s="304"/>
      <c r="GU330" s="304"/>
      <c r="GV330" s="304"/>
      <c r="GW330" s="304"/>
      <c r="GX330" s="304"/>
      <c r="GY330" s="304"/>
      <c r="GZ330" s="304"/>
      <c r="HA330" s="304"/>
      <c r="HB330" s="304"/>
      <c r="HC330" s="304"/>
      <c r="HD330" s="304"/>
      <c r="HE330" s="304"/>
      <c r="HF330" s="304"/>
      <c r="HG330" s="304"/>
      <c r="HH330" s="304"/>
      <c r="HI330" s="304"/>
      <c r="HJ330" s="304"/>
      <c r="HK330" s="304"/>
      <c r="HL330" s="304"/>
      <c r="HM330" s="304"/>
      <c r="HN330" s="304"/>
      <c r="HO330" s="304"/>
      <c r="HP330" s="304"/>
      <c r="HQ330" s="304"/>
      <c r="HR330" s="304"/>
      <c r="HS330" s="304"/>
      <c r="HT330" s="304"/>
      <c r="HU330" s="304"/>
      <c r="HV330" s="304"/>
      <c r="HW330" s="304"/>
      <c r="HX330" s="304"/>
      <c r="HY330" s="304"/>
      <c r="HZ330" s="304"/>
      <c r="IA330" s="304"/>
      <c r="IB330" s="304"/>
      <c r="IC330" s="304"/>
      <c r="ID330" s="304"/>
      <c r="IE330" s="304"/>
      <c r="IF330" s="304"/>
      <c r="IG330" s="304"/>
      <c r="IH330" s="304"/>
      <c r="II330" s="304"/>
      <c r="IJ330" s="304"/>
      <c r="IK330" s="304"/>
      <c r="IL330" s="304"/>
      <c r="IM330" s="304"/>
      <c r="IN330" s="304"/>
      <c r="IO330" s="304"/>
      <c r="IP330" s="304"/>
      <c r="IQ330" s="304"/>
      <c r="IR330" s="304"/>
      <c r="IS330" s="304"/>
      <c r="IT330" s="304"/>
      <c r="IU330" s="304"/>
      <c r="IV330" s="304"/>
    </row>
    <row r="331" spans="1:256" ht="23.25">
      <c r="A331" s="421" t="s">
        <v>537</v>
      </c>
      <c r="B331" s="354" t="s">
        <v>531</v>
      </c>
      <c r="C331" s="355">
        <f t="shared" si="59"/>
        <v>0.24655679039414743</v>
      </c>
      <c r="D331" s="423"/>
      <c r="E331" s="343">
        <v>35000</v>
      </c>
      <c r="F331" s="424"/>
      <c r="G331" s="376">
        <f t="shared" si="29"/>
        <v>1</v>
      </c>
      <c r="H331" s="343">
        <f t="shared" si="60"/>
        <v>35000</v>
      </c>
      <c r="I331" s="343">
        <v>35000</v>
      </c>
      <c r="J331" s="376">
        <f t="shared" si="38"/>
        <v>0</v>
      </c>
      <c r="K331" s="348">
        <v>0</v>
      </c>
      <c r="M331" s="174">
        <f t="shared" si="1"/>
        <v>0</v>
      </c>
      <c r="O331" s="144"/>
      <c r="FH331" s="304"/>
      <c r="FI331" s="304"/>
      <c r="FJ331" s="304"/>
      <c r="FK331" s="304"/>
      <c r="FL331" s="304"/>
      <c r="FM331" s="304"/>
      <c r="FN331" s="304"/>
      <c r="FO331" s="304"/>
      <c r="FP331" s="304"/>
      <c r="FQ331" s="304"/>
      <c r="FR331" s="304"/>
      <c r="FS331" s="304"/>
      <c r="FT331" s="304"/>
      <c r="FU331" s="304"/>
      <c r="FV331" s="304"/>
      <c r="FW331" s="304"/>
      <c r="FX331" s="304"/>
      <c r="FY331" s="304"/>
      <c r="FZ331" s="304"/>
      <c r="GA331" s="304"/>
      <c r="GB331" s="304"/>
      <c r="GC331" s="304"/>
      <c r="GD331" s="304"/>
      <c r="GE331" s="304"/>
      <c r="GF331" s="304"/>
      <c r="GG331" s="304"/>
      <c r="GH331" s="304"/>
      <c r="GI331" s="304"/>
      <c r="GJ331" s="304"/>
      <c r="GK331" s="304"/>
      <c r="GL331" s="304"/>
      <c r="GM331" s="304"/>
      <c r="GN331" s="304"/>
      <c r="GO331" s="304"/>
      <c r="GP331" s="304"/>
      <c r="GQ331" s="304"/>
      <c r="GR331" s="304"/>
      <c r="GS331" s="304"/>
      <c r="GT331" s="304"/>
      <c r="GU331" s="304"/>
      <c r="GV331" s="304"/>
      <c r="GW331" s="304"/>
      <c r="GX331" s="304"/>
      <c r="GY331" s="304"/>
      <c r="GZ331" s="304"/>
      <c r="HA331" s="304"/>
      <c r="HB331" s="304"/>
      <c r="HC331" s="304"/>
      <c r="HD331" s="304"/>
      <c r="HE331" s="304"/>
      <c r="HF331" s="304"/>
      <c r="HG331" s="304"/>
      <c r="HH331" s="304"/>
      <c r="HI331" s="304"/>
      <c r="HJ331" s="304"/>
      <c r="HK331" s="304"/>
      <c r="HL331" s="304"/>
      <c r="HM331" s="304"/>
      <c r="HN331" s="304"/>
      <c r="HO331" s="304"/>
      <c r="HP331" s="304"/>
      <c r="HQ331" s="304"/>
      <c r="HR331" s="304"/>
      <c r="HS331" s="304"/>
      <c r="HT331" s="304"/>
      <c r="HU331" s="304"/>
      <c r="HV331" s="304"/>
      <c r="HW331" s="304"/>
      <c r="HX331" s="304"/>
      <c r="HY331" s="304"/>
      <c r="HZ331" s="304"/>
      <c r="IA331" s="304"/>
      <c r="IB331" s="304"/>
      <c r="IC331" s="304"/>
      <c r="ID331" s="304"/>
      <c r="IE331" s="304"/>
      <c r="IF331" s="304"/>
      <c r="IG331" s="304"/>
      <c r="IH331" s="304"/>
      <c r="II331" s="304"/>
      <c r="IJ331" s="304"/>
      <c r="IK331" s="304"/>
      <c r="IL331" s="304"/>
      <c r="IM331" s="304"/>
      <c r="IN331" s="304"/>
      <c r="IO331" s="304"/>
      <c r="IP331" s="304"/>
      <c r="IQ331" s="304"/>
      <c r="IR331" s="304"/>
      <c r="IS331" s="304"/>
      <c r="IT331" s="304"/>
      <c r="IU331" s="304"/>
      <c r="IV331" s="304"/>
    </row>
    <row r="332" spans="1:256" ht="23.25">
      <c r="A332" s="421" t="s">
        <v>538</v>
      </c>
      <c r="B332" s="354" t="s">
        <v>539</v>
      </c>
      <c r="C332" s="355">
        <f t="shared" si="59"/>
        <v>0.05635583780437656</v>
      </c>
      <c r="D332" s="423"/>
      <c r="E332" s="343">
        <v>8000</v>
      </c>
      <c r="F332" s="424"/>
      <c r="G332" s="376">
        <f t="shared" si="29"/>
        <v>1</v>
      </c>
      <c r="H332" s="343">
        <f t="shared" si="60"/>
        <v>8000</v>
      </c>
      <c r="I332" s="343">
        <v>8000</v>
      </c>
      <c r="J332" s="376">
        <f t="shared" si="38"/>
        <v>0</v>
      </c>
      <c r="K332" s="348">
        <v>0</v>
      </c>
      <c r="M332" s="174">
        <f t="shared" si="1"/>
        <v>0</v>
      </c>
      <c r="O332" s="144"/>
      <c r="FH332" s="304"/>
      <c r="FI332" s="304"/>
      <c r="FJ332" s="304"/>
      <c r="FK332" s="304"/>
      <c r="FL332" s="304"/>
      <c r="FM332" s="304"/>
      <c r="FN332" s="304"/>
      <c r="FO332" s="304"/>
      <c r="FP332" s="304"/>
      <c r="FQ332" s="304"/>
      <c r="FR332" s="304"/>
      <c r="FS332" s="304"/>
      <c r="FT332" s="304"/>
      <c r="FU332" s="304"/>
      <c r="FV332" s="304"/>
      <c r="FW332" s="304"/>
      <c r="FX332" s="304"/>
      <c r="FY332" s="304"/>
      <c r="FZ332" s="304"/>
      <c r="GA332" s="304"/>
      <c r="GB332" s="304"/>
      <c r="GC332" s="304"/>
      <c r="GD332" s="304"/>
      <c r="GE332" s="304"/>
      <c r="GF332" s="304"/>
      <c r="GG332" s="304"/>
      <c r="GH332" s="304"/>
      <c r="GI332" s="304"/>
      <c r="GJ332" s="304"/>
      <c r="GK332" s="304"/>
      <c r="GL332" s="304"/>
      <c r="GM332" s="304"/>
      <c r="GN332" s="304"/>
      <c r="GO332" s="304"/>
      <c r="GP332" s="304"/>
      <c r="GQ332" s="304"/>
      <c r="GR332" s="304"/>
      <c r="GS332" s="304"/>
      <c r="GT332" s="304"/>
      <c r="GU332" s="304"/>
      <c r="GV332" s="304"/>
      <c r="GW332" s="304"/>
      <c r="GX332" s="304"/>
      <c r="GY332" s="304"/>
      <c r="GZ332" s="304"/>
      <c r="HA332" s="304"/>
      <c r="HB332" s="304"/>
      <c r="HC332" s="304"/>
      <c r="HD332" s="304"/>
      <c r="HE332" s="304"/>
      <c r="HF332" s="304"/>
      <c r="HG332" s="304"/>
      <c r="HH332" s="304"/>
      <c r="HI332" s="304"/>
      <c r="HJ332" s="304"/>
      <c r="HK332" s="304"/>
      <c r="HL332" s="304"/>
      <c r="HM332" s="304"/>
      <c r="HN332" s="304"/>
      <c r="HO332" s="304"/>
      <c r="HP332" s="304"/>
      <c r="HQ332" s="304"/>
      <c r="HR332" s="304"/>
      <c r="HS332" s="304"/>
      <c r="HT332" s="304"/>
      <c r="HU332" s="304"/>
      <c r="HV332" s="304"/>
      <c r="HW332" s="304"/>
      <c r="HX332" s="304"/>
      <c r="HY332" s="304"/>
      <c r="HZ332" s="304"/>
      <c r="IA332" s="304"/>
      <c r="IB332" s="304"/>
      <c r="IC332" s="304"/>
      <c r="ID332" s="304"/>
      <c r="IE332" s="304"/>
      <c r="IF332" s="304"/>
      <c r="IG332" s="304"/>
      <c r="IH332" s="304"/>
      <c r="II332" s="304"/>
      <c r="IJ332" s="304"/>
      <c r="IK332" s="304"/>
      <c r="IL332" s="304"/>
      <c r="IM332" s="304"/>
      <c r="IN332" s="304"/>
      <c r="IO332" s="304"/>
      <c r="IP332" s="304"/>
      <c r="IQ332" s="304"/>
      <c r="IR332" s="304"/>
      <c r="IS332" s="304"/>
      <c r="IT332" s="304"/>
      <c r="IU332" s="304"/>
      <c r="IV332" s="304"/>
    </row>
    <row r="333" spans="1:256" ht="23.25">
      <c r="A333" s="421" t="s">
        <v>540</v>
      </c>
      <c r="B333" s="354" t="s">
        <v>527</v>
      </c>
      <c r="C333" s="355">
        <f t="shared" si="59"/>
        <v>0.04226687835328242</v>
      </c>
      <c r="D333" s="423"/>
      <c r="E333" s="343">
        <v>6000</v>
      </c>
      <c r="F333" s="424"/>
      <c r="G333" s="376">
        <f t="shared" si="29"/>
        <v>1</v>
      </c>
      <c r="H333" s="343">
        <f t="shared" si="60"/>
        <v>6000</v>
      </c>
      <c r="I333" s="343">
        <v>6000</v>
      </c>
      <c r="J333" s="376">
        <f t="shared" si="38"/>
        <v>0</v>
      </c>
      <c r="K333" s="348">
        <v>0</v>
      </c>
      <c r="M333" s="174">
        <f t="shared" si="1"/>
        <v>0</v>
      </c>
      <c r="O333" s="144"/>
      <c r="FH333" s="304"/>
      <c r="FI333" s="304"/>
      <c r="FJ333" s="304"/>
      <c r="FK333" s="304"/>
      <c r="FL333" s="304"/>
      <c r="FM333" s="304"/>
      <c r="FN333" s="304"/>
      <c r="FO333" s="304"/>
      <c r="FP333" s="304"/>
      <c r="FQ333" s="304"/>
      <c r="FR333" s="304"/>
      <c r="FS333" s="304"/>
      <c r="FT333" s="304"/>
      <c r="FU333" s="304"/>
      <c r="FV333" s="304"/>
      <c r="FW333" s="304"/>
      <c r="FX333" s="304"/>
      <c r="FY333" s="304"/>
      <c r="FZ333" s="304"/>
      <c r="GA333" s="304"/>
      <c r="GB333" s="304"/>
      <c r="GC333" s="304"/>
      <c r="GD333" s="304"/>
      <c r="GE333" s="304"/>
      <c r="GF333" s="304"/>
      <c r="GG333" s="304"/>
      <c r="GH333" s="304"/>
      <c r="GI333" s="304"/>
      <c r="GJ333" s="304"/>
      <c r="GK333" s="304"/>
      <c r="GL333" s="304"/>
      <c r="GM333" s="304"/>
      <c r="GN333" s="304"/>
      <c r="GO333" s="304"/>
      <c r="GP333" s="304"/>
      <c r="GQ333" s="304"/>
      <c r="GR333" s="304"/>
      <c r="GS333" s="304"/>
      <c r="GT333" s="304"/>
      <c r="GU333" s="304"/>
      <c r="GV333" s="304"/>
      <c r="GW333" s="304"/>
      <c r="GX333" s="304"/>
      <c r="GY333" s="304"/>
      <c r="GZ333" s="304"/>
      <c r="HA333" s="304"/>
      <c r="HB333" s="304"/>
      <c r="HC333" s="304"/>
      <c r="HD333" s="304"/>
      <c r="HE333" s="304"/>
      <c r="HF333" s="304"/>
      <c r="HG333" s="304"/>
      <c r="HH333" s="304"/>
      <c r="HI333" s="304"/>
      <c r="HJ333" s="304"/>
      <c r="HK333" s="304"/>
      <c r="HL333" s="304"/>
      <c r="HM333" s="304"/>
      <c r="HN333" s="304"/>
      <c r="HO333" s="304"/>
      <c r="HP333" s="304"/>
      <c r="HQ333" s="304"/>
      <c r="HR333" s="304"/>
      <c r="HS333" s="304"/>
      <c r="HT333" s="304"/>
      <c r="HU333" s="304"/>
      <c r="HV333" s="304"/>
      <c r="HW333" s="304"/>
      <c r="HX333" s="304"/>
      <c r="HY333" s="304"/>
      <c r="HZ333" s="304"/>
      <c r="IA333" s="304"/>
      <c r="IB333" s="304"/>
      <c r="IC333" s="304"/>
      <c r="ID333" s="304"/>
      <c r="IE333" s="304"/>
      <c r="IF333" s="304"/>
      <c r="IG333" s="304"/>
      <c r="IH333" s="304"/>
      <c r="II333" s="304"/>
      <c r="IJ333" s="304"/>
      <c r="IK333" s="304"/>
      <c r="IL333" s="304"/>
      <c r="IM333" s="304"/>
      <c r="IN333" s="304"/>
      <c r="IO333" s="304"/>
      <c r="IP333" s="304"/>
      <c r="IQ333" s="304"/>
      <c r="IR333" s="304"/>
      <c r="IS333" s="304"/>
      <c r="IT333" s="304"/>
      <c r="IU333" s="304"/>
      <c r="IV333" s="304"/>
    </row>
    <row r="334" spans="1:15" ht="23.25">
      <c r="A334" s="243" t="s">
        <v>66</v>
      </c>
      <c r="B334" s="252" t="s">
        <v>541</v>
      </c>
      <c r="C334" s="253">
        <v>0.21</v>
      </c>
      <c r="D334" s="246">
        <v>102310</v>
      </c>
      <c r="E334" s="257">
        <f>$E$311*C334</f>
        <v>134281.875</v>
      </c>
      <c r="F334" s="247"/>
      <c r="G334" s="256">
        <f t="shared" si="29"/>
        <v>1.0000000372351072</v>
      </c>
      <c r="H334" s="257">
        <f>+H335+H336+H337+H338+H339+H340</f>
        <v>134281.88</v>
      </c>
      <c r="I334" s="257">
        <f>+I335+I336+I337+I338+I339+I340</f>
        <v>134281.88</v>
      </c>
      <c r="J334" s="256">
        <f t="shared" si="38"/>
        <v>0</v>
      </c>
      <c r="K334" s="258">
        <f>SUM(K335:K340)</f>
        <v>0</v>
      </c>
      <c r="M334" s="174">
        <f t="shared" si="1"/>
        <v>0</v>
      </c>
      <c r="O334" s="144"/>
    </row>
    <row r="335" spans="1:15" ht="23.25">
      <c r="A335" s="293" t="s">
        <v>137</v>
      </c>
      <c r="B335" s="294" t="s">
        <v>542</v>
      </c>
      <c r="C335" s="319">
        <f aca="true" t="shared" si="61" ref="C335:C340">+E335/$E$334</f>
        <v>0.05202444484782477</v>
      </c>
      <c r="D335" s="296"/>
      <c r="E335" s="299">
        <v>6985.94</v>
      </c>
      <c r="F335" s="297"/>
      <c r="G335" s="298">
        <f t="shared" si="29"/>
        <v>1</v>
      </c>
      <c r="H335" s="299">
        <f aca="true" t="shared" si="62" ref="H335:H355">+I335+K335</f>
        <v>6985.94</v>
      </c>
      <c r="I335" s="299">
        <v>6985.94</v>
      </c>
      <c r="J335" s="298">
        <f t="shared" si="38"/>
        <v>0</v>
      </c>
      <c r="K335" s="300">
        <v>0</v>
      </c>
      <c r="M335" s="174">
        <f t="shared" si="1"/>
        <v>0</v>
      </c>
      <c r="O335" s="144"/>
    </row>
    <row r="336" spans="1:15" ht="23.25">
      <c r="A336" s="293" t="s">
        <v>139</v>
      </c>
      <c r="B336" s="294" t="s">
        <v>543</v>
      </c>
      <c r="C336" s="319">
        <f t="shared" si="61"/>
        <v>0.4293580202093544</v>
      </c>
      <c r="D336" s="296"/>
      <c r="E336" s="299">
        <v>57655</v>
      </c>
      <c r="F336" s="297"/>
      <c r="G336" s="298">
        <f t="shared" si="29"/>
        <v>1</v>
      </c>
      <c r="H336" s="299">
        <f t="shared" si="62"/>
        <v>57655</v>
      </c>
      <c r="I336" s="299">
        <v>57655</v>
      </c>
      <c r="J336" s="298">
        <f t="shared" si="38"/>
        <v>0</v>
      </c>
      <c r="K336" s="300">
        <v>0</v>
      </c>
      <c r="M336" s="174">
        <f t="shared" si="1"/>
        <v>0</v>
      </c>
      <c r="O336" s="144"/>
    </row>
    <row r="337" spans="1:15" ht="23.25">
      <c r="A337" s="293" t="s">
        <v>422</v>
      </c>
      <c r="B337" s="294" t="s">
        <v>544</v>
      </c>
      <c r="C337" s="319">
        <f t="shared" si="61"/>
        <v>0.018617553560374398</v>
      </c>
      <c r="D337" s="296"/>
      <c r="E337" s="299">
        <v>2500</v>
      </c>
      <c r="F337" s="297"/>
      <c r="G337" s="298">
        <f t="shared" si="29"/>
        <v>1</v>
      </c>
      <c r="H337" s="299">
        <f t="shared" si="62"/>
        <v>2500</v>
      </c>
      <c r="I337" s="299">
        <v>2500</v>
      </c>
      <c r="J337" s="298">
        <f t="shared" si="38"/>
        <v>0</v>
      </c>
      <c r="K337" s="300">
        <v>0</v>
      </c>
      <c r="M337" s="174">
        <f t="shared" si="1"/>
        <v>0</v>
      </c>
      <c r="O337" s="144"/>
    </row>
    <row r="338" spans="1:15" ht="23.25">
      <c r="A338" s="293" t="s">
        <v>545</v>
      </c>
      <c r="B338" s="294" t="s">
        <v>546</v>
      </c>
      <c r="C338" s="319">
        <f t="shared" si="61"/>
        <v>0.05202444484782477</v>
      </c>
      <c r="D338" s="296"/>
      <c r="E338" s="299">
        <v>6985.94</v>
      </c>
      <c r="F338" s="297"/>
      <c r="G338" s="298">
        <f t="shared" si="29"/>
        <v>1</v>
      </c>
      <c r="H338" s="299">
        <f t="shared" si="62"/>
        <v>6985.94</v>
      </c>
      <c r="I338" s="299">
        <v>6985.94</v>
      </c>
      <c r="J338" s="298">
        <f t="shared" si="38"/>
        <v>0</v>
      </c>
      <c r="K338" s="300">
        <v>0</v>
      </c>
      <c r="M338" s="174">
        <f t="shared" si="1"/>
        <v>0</v>
      </c>
      <c r="O338" s="144"/>
    </row>
    <row r="339" spans="1:15" ht="23.25">
      <c r="A339" s="293" t="s">
        <v>547</v>
      </c>
      <c r="B339" s="294" t="s">
        <v>548</v>
      </c>
      <c r="C339" s="319">
        <f t="shared" si="61"/>
        <v>0.4293580202093544</v>
      </c>
      <c r="D339" s="296"/>
      <c r="E339" s="299">
        <v>57655</v>
      </c>
      <c r="F339" s="297"/>
      <c r="G339" s="298">
        <f t="shared" si="29"/>
        <v>1</v>
      </c>
      <c r="H339" s="299">
        <f t="shared" si="62"/>
        <v>57655</v>
      </c>
      <c r="I339" s="299">
        <v>57655</v>
      </c>
      <c r="J339" s="298">
        <f t="shared" si="38"/>
        <v>0</v>
      </c>
      <c r="K339" s="300">
        <v>0</v>
      </c>
      <c r="M339" s="174">
        <f t="shared" si="1"/>
        <v>0</v>
      </c>
      <c r="O339" s="144"/>
    </row>
    <row r="340" spans="1:15" ht="23.25">
      <c r="A340" s="293" t="s">
        <v>549</v>
      </c>
      <c r="B340" s="294" t="s">
        <v>550</v>
      </c>
      <c r="C340" s="319">
        <f t="shared" si="61"/>
        <v>0.018617553560374398</v>
      </c>
      <c r="D340" s="296"/>
      <c r="E340" s="299">
        <v>2500</v>
      </c>
      <c r="F340" s="297"/>
      <c r="G340" s="298">
        <f t="shared" si="29"/>
        <v>1</v>
      </c>
      <c r="H340" s="299">
        <f t="shared" si="62"/>
        <v>2500</v>
      </c>
      <c r="I340" s="299">
        <v>2500</v>
      </c>
      <c r="J340" s="298">
        <f t="shared" si="38"/>
        <v>0</v>
      </c>
      <c r="K340" s="300">
        <v>0</v>
      </c>
      <c r="M340" s="174">
        <f t="shared" si="1"/>
        <v>0</v>
      </c>
      <c r="O340" s="144"/>
    </row>
    <row r="341" spans="1:16" ht="23.25">
      <c r="A341" s="275">
        <v>3</v>
      </c>
      <c r="B341" s="276" t="s">
        <v>551</v>
      </c>
      <c r="C341" s="277">
        <v>0.31</v>
      </c>
      <c r="D341" s="278">
        <v>792902.5</v>
      </c>
      <c r="E341" s="233">
        <f>$E$300*C341</f>
        <v>792902.5</v>
      </c>
      <c r="F341" s="279"/>
      <c r="G341" s="267">
        <f t="shared" si="29"/>
        <v>1</v>
      </c>
      <c r="H341" s="233">
        <f t="shared" si="62"/>
        <v>792902.5</v>
      </c>
      <c r="I341" s="233">
        <f>SUM(I342:I345)-0.01</f>
        <v>792902.5</v>
      </c>
      <c r="J341" s="267">
        <f t="shared" si="38"/>
        <v>0</v>
      </c>
      <c r="K341" s="234">
        <f>SUM(K342:K345)</f>
        <v>0</v>
      </c>
      <c r="M341" s="174">
        <f t="shared" si="1"/>
        <v>0</v>
      </c>
      <c r="O341" s="144"/>
      <c r="P341" s="174"/>
    </row>
    <row r="342" spans="1:15" ht="43.5">
      <c r="A342" s="243" t="s">
        <v>71</v>
      </c>
      <c r="B342" s="244" t="s">
        <v>552</v>
      </c>
      <c r="C342" s="245">
        <v>0.37</v>
      </c>
      <c r="D342" s="246">
        <v>293373.925</v>
      </c>
      <c r="E342" s="249">
        <f aca="true" t="shared" si="63" ref="E342:E345">$E$341*C342</f>
        <v>293373.925</v>
      </c>
      <c r="F342" s="247"/>
      <c r="G342" s="248">
        <f t="shared" si="29"/>
        <v>1.000000017043096</v>
      </c>
      <c r="H342" s="249">
        <f t="shared" si="62"/>
        <v>293373.93</v>
      </c>
      <c r="I342" s="249">
        <v>293373.93</v>
      </c>
      <c r="J342" s="248">
        <f t="shared" si="38"/>
        <v>0</v>
      </c>
      <c r="K342" s="250">
        <v>0</v>
      </c>
      <c r="M342" s="174">
        <f t="shared" si="1"/>
        <v>0</v>
      </c>
      <c r="O342" s="144"/>
    </row>
    <row r="343" spans="1:15" ht="43.5">
      <c r="A343" s="243" t="s">
        <v>73</v>
      </c>
      <c r="B343" s="252" t="s">
        <v>553</v>
      </c>
      <c r="C343" s="253">
        <v>0.18</v>
      </c>
      <c r="D343" s="246">
        <v>142722.44999999998</v>
      </c>
      <c r="E343" s="257">
        <f t="shared" si="63"/>
        <v>142722.44999999998</v>
      </c>
      <c r="F343" s="247"/>
      <c r="G343" s="256">
        <f t="shared" si="29"/>
        <v>1.0000000000000002</v>
      </c>
      <c r="H343" s="257">
        <f t="shared" si="62"/>
        <v>142722.45</v>
      </c>
      <c r="I343" s="257">
        <v>142722.45</v>
      </c>
      <c r="J343" s="256">
        <f t="shared" si="38"/>
        <v>0</v>
      </c>
      <c r="K343" s="258">
        <v>0</v>
      </c>
      <c r="M343" s="174">
        <f t="shared" si="1"/>
        <v>0</v>
      </c>
      <c r="O343" s="144"/>
    </row>
    <row r="344" spans="1:15" ht="43.5">
      <c r="A344" s="243" t="s">
        <v>211</v>
      </c>
      <c r="B344" s="252" t="s">
        <v>822</v>
      </c>
      <c r="C344" s="253">
        <v>0.1</v>
      </c>
      <c r="D344" s="246">
        <v>79290.25</v>
      </c>
      <c r="E344" s="257">
        <f t="shared" si="63"/>
        <v>79290.25</v>
      </c>
      <c r="F344" s="247"/>
      <c r="G344" s="256">
        <f t="shared" si="29"/>
        <v>1</v>
      </c>
      <c r="H344" s="257">
        <f t="shared" si="62"/>
        <v>79290.25</v>
      </c>
      <c r="I344" s="257">
        <v>79290.25</v>
      </c>
      <c r="J344" s="256">
        <f t="shared" si="38"/>
        <v>0</v>
      </c>
      <c r="K344" s="258">
        <v>0</v>
      </c>
      <c r="M344" s="174">
        <f t="shared" si="1"/>
        <v>0</v>
      </c>
      <c r="O344" s="144"/>
    </row>
    <row r="345" spans="1:15" ht="23.25">
      <c r="A345" s="305" t="s">
        <v>220</v>
      </c>
      <c r="B345" s="260" t="s">
        <v>555</v>
      </c>
      <c r="C345" s="261">
        <v>0.35</v>
      </c>
      <c r="D345" s="306">
        <v>277515.875</v>
      </c>
      <c r="E345" s="265">
        <f t="shared" si="63"/>
        <v>277515.875</v>
      </c>
      <c r="F345" s="307"/>
      <c r="G345" s="264">
        <f t="shared" si="29"/>
        <v>1.0000000180169872</v>
      </c>
      <c r="H345" s="265">
        <f t="shared" si="62"/>
        <v>277515.88</v>
      </c>
      <c r="I345" s="265">
        <v>277515.88</v>
      </c>
      <c r="J345" s="264">
        <f t="shared" si="38"/>
        <v>0</v>
      </c>
      <c r="K345" s="266">
        <v>0</v>
      </c>
      <c r="M345" s="174">
        <f t="shared" si="1"/>
        <v>0</v>
      </c>
      <c r="O345" s="144"/>
    </row>
    <row r="346" spans="1:15" ht="23.25">
      <c r="A346" s="275">
        <v>4</v>
      </c>
      <c r="B346" s="276" t="s">
        <v>556</v>
      </c>
      <c r="C346" s="277">
        <v>0.02</v>
      </c>
      <c r="D346" s="278">
        <v>51155</v>
      </c>
      <c r="E346" s="233">
        <f>$E$300*C346</f>
        <v>51155</v>
      </c>
      <c r="F346" s="279"/>
      <c r="G346" s="232">
        <f t="shared" si="29"/>
        <v>1</v>
      </c>
      <c r="H346" s="233">
        <f t="shared" si="62"/>
        <v>51155</v>
      </c>
      <c r="I346" s="233">
        <f>+I347+I348</f>
        <v>20320</v>
      </c>
      <c r="J346" s="267">
        <f t="shared" si="38"/>
        <v>0.6027758772358518</v>
      </c>
      <c r="K346" s="234">
        <f>+K347+K348</f>
        <v>30835</v>
      </c>
      <c r="M346" s="174">
        <f t="shared" si="1"/>
        <v>30835</v>
      </c>
      <c r="O346" s="144"/>
    </row>
    <row r="347" spans="1:256" ht="23.25">
      <c r="A347" s="281" t="s">
        <v>269</v>
      </c>
      <c r="B347" s="282" t="s">
        <v>823</v>
      </c>
      <c r="C347" s="283">
        <f>+E347/E346</f>
        <v>0.5034698465448147</v>
      </c>
      <c r="D347" s="284"/>
      <c r="E347" s="287">
        <v>25755</v>
      </c>
      <c r="F347" s="285"/>
      <c r="G347" s="286">
        <f t="shared" si="29"/>
        <v>1</v>
      </c>
      <c r="H347" s="287">
        <f t="shared" si="62"/>
        <v>25755</v>
      </c>
      <c r="I347" s="287">
        <v>0</v>
      </c>
      <c r="J347" s="288">
        <f t="shared" si="38"/>
        <v>1</v>
      </c>
      <c r="K347" s="289">
        <v>25755</v>
      </c>
      <c r="M347" s="174">
        <f t="shared" si="1"/>
        <v>25755</v>
      </c>
      <c r="O347" s="144"/>
      <c r="FH347" s="304"/>
      <c r="FI347" s="304"/>
      <c r="FJ347" s="304"/>
      <c r="FK347" s="304"/>
      <c r="FL347" s="304"/>
      <c r="FM347" s="304"/>
      <c r="FN347" s="304"/>
      <c r="FO347" s="304"/>
      <c r="FP347" s="304"/>
      <c r="FQ347" s="304"/>
      <c r="FR347" s="304"/>
      <c r="FS347" s="304"/>
      <c r="FT347" s="304"/>
      <c r="FU347" s="304"/>
      <c r="FV347" s="304"/>
      <c r="FW347" s="304"/>
      <c r="FX347" s="304"/>
      <c r="FY347" s="304"/>
      <c r="FZ347" s="304"/>
      <c r="GA347" s="304"/>
      <c r="GB347" s="304"/>
      <c r="GC347" s="304"/>
      <c r="GD347" s="304"/>
      <c r="GE347" s="304"/>
      <c r="GF347" s="304"/>
      <c r="GG347" s="304"/>
      <c r="GH347" s="304"/>
      <c r="GI347" s="304"/>
      <c r="GJ347" s="304"/>
      <c r="GK347" s="304"/>
      <c r="GL347" s="304"/>
      <c r="GM347" s="304"/>
      <c r="GN347" s="304"/>
      <c r="GO347" s="304"/>
      <c r="GP347" s="304"/>
      <c r="GQ347" s="304"/>
      <c r="GR347" s="304"/>
      <c r="GS347" s="304"/>
      <c r="GT347" s="304"/>
      <c r="GU347" s="304"/>
      <c r="GV347" s="304"/>
      <c r="GW347" s="304"/>
      <c r="GX347" s="304"/>
      <c r="GY347" s="304"/>
      <c r="GZ347" s="304"/>
      <c r="HA347" s="304"/>
      <c r="HB347" s="304"/>
      <c r="HC347" s="304"/>
      <c r="HD347" s="304"/>
      <c r="HE347" s="304"/>
      <c r="HF347" s="304"/>
      <c r="HG347" s="304"/>
      <c r="HH347" s="304"/>
      <c r="HI347" s="304"/>
      <c r="HJ347" s="304"/>
      <c r="HK347" s="304"/>
      <c r="HL347" s="304"/>
      <c r="HM347" s="304"/>
      <c r="HN347" s="304"/>
      <c r="HO347" s="304"/>
      <c r="HP347" s="304"/>
      <c r="HQ347" s="304"/>
      <c r="HR347" s="304"/>
      <c r="HS347" s="304"/>
      <c r="HT347" s="304"/>
      <c r="HU347" s="304"/>
      <c r="HV347" s="304"/>
      <c r="HW347" s="304"/>
      <c r="HX347" s="304"/>
      <c r="HY347" s="304"/>
      <c r="HZ347" s="304"/>
      <c r="IA347" s="304"/>
      <c r="IB347" s="304"/>
      <c r="IC347" s="304"/>
      <c r="ID347" s="304"/>
      <c r="IE347" s="304"/>
      <c r="IF347" s="304"/>
      <c r="IG347" s="304"/>
      <c r="IH347" s="304"/>
      <c r="II347" s="304"/>
      <c r="IJ347" s="304"/>
      <c r="IK347" s="304"/>
      <c r="IL347" s="304"/>
      <c r="IM347" s="304"/>
      <c r="IN347" s="304"/>
      <c r="IO347" s="304"/>
      <c r="IP347" s="304"/>
      <c r="IQ347" s="304"/>
      <c r="IR347" s="304"/>
      <c r="IS347" s="304"/>
      <c r="IT347" s="304"/>
      <c r="IU347" s="304"/>
      <c r="IV347" s="304"/>
    </row>
    <row r="348" spans="1:256" ht="43.5">
      <c r="A348" s="281" t="s">
        <v>271</v>
      </c>
      <c r="B348" s="282" t="s">
        <v>558</v>
      </c>
      <c r="C348" s="283">
        <f>+E348/E346</f>
        <v>0.4965301534551852</v>
      </c>
      <c r="D348" s="284"/>
      <c r="E348" s="287">
        <v>25400</v>
      </c>
      <c r="F348" s="285"/>
      <c r="G348" s="286">
        <f t="shared" si="29"/>
        <v>1</v>
      </c>
      <c r="H348" s="287">
        <f t="shared" si="62"/>
        <v>25400</v>
      </c>
      <c r="I348" s="287">
        <v>20320</v>
      </c>
      <c r="J348" s="288">
        <f t="shared" si="38"/>
        <v>0.2</v>
      </c>
      <c r="K348" s="289">
        <v>5080</v>
      </c>
      <c r="M348" s="174">
        <f t="shared" si="1"/>
        <v>5080</v>
      </c>
      <c r="O348" s="144"/>
      <c r="FH348" s="304"/>
      <c r="FI348" s="304"/>
      <c r="FJ348" s="304"/>
      <c r="FK348" s="304"/>
      <c r="FL348" s="304"/>
      <c r="FM348" s="304"/>
      <c r="FN348" s="304"/>
      <c r="FO348" s="304"/>
      <c r="FP348" s="304"/>
      <c r="FQ348" s="304"/>
      <c r="FR348" s="304"/>
      <c r="FS348" s="304"/>
      <c r="FT348" s="304"/>
      <c r="FU348" s="304"/>
      <c r="FV348" s="304"/>
      <c r="FW348" s="304"/>
      <c r="FX348" s="304"/>
      <c r="FY348" s="304"/>
      <c r="FZ348" s="304"/>
      <c r="GA348" s="304"/>
      <c r="GB348" s="304"/>
      <c r="GC348" s="304"/>
      <c r="GD348" s="304"/>
      <c r="GE348" s="304"/>
      <c r="GF348" s="304"/>
      <c r="GG348" s="304"/>
      <c r="GH348" s="304"/>
      <c r="GI348" s="304"/>
      <c r="GJ348" s="304"/>
      <c r="GK348" s="304"/>
      <c r="GL348" s="304"/>
      <c r="GM348" s="304"/>
      <c r="GN348" s="304"/>
      <c r="GO348" s="304"/>
      <c r="GP348" s="304"/>
      <c r="GQ348" s="304"/>
      <c r="GR348" s="304"/>
      <c r="GS348" s="304"/>
      <c r="GT348" s="304"/>
      <c r="GU348" s="304"/>
      <c r="GV348" s="304"/>
      <c r="GW348" s="304"/>
      <c r="GX348" s="304"/>
      <c r="GY348" s="304"/>
      <c r="GZ348" s="304"/>
      <c r="HA348" s="304"/>
      <c r="HB348" s="304"/>
      <c r="HC348" s="304"/>
      <c r="HD348" s="304"/>
      <c r="HE348" s="304"/>
      <c r="HF348" s="304"/>
      <c r="HG348" s="304"/>
      <c r="HH348" s="304"/>
      <c r="HI348" s="304"/>
      <c r="HJ348" s="304"/>
      <c r="HK348" s="304"/>
      <c r="HL348" s="304"/>
      <c r="HM348" s="304"/>
      <c r="HN348" s="304"/>
      <c r="HO348" s="304"/>
      <c r="HP348" s="304"/>
      <c r="HQ348" s="304"/>
      <c r="HR348" s="304"/>
      <c r="HS348" s="304"/>
      <c r="HT348" s="304"/>
      <c r="HU348" s="304"/>
      <c r="HV348" s="304"/>
      <c r="HW348" s="304"/>
      <c r="HX348" s="304"/>
      <c r="HY348" s="304"/>
      <c r="HZ348" s="304"/>
      <c r="IA348" s="304"/>
      <c r="IB348" s="304"/>
      <c r="IC348" s="304"/>
      <c r="ID348" s="304"/>
      <c r="IE348" s="304"/>
      <c r="IF348" s="304"/>
      <c r="IG348" s="304"/>
      <c r="IH348" s="304"/>
      <c r="II348" s="304"/>
      <c r="IJ348" s="304"/>
      <c r="IK348" s="304"/>
      <c r="IL348" s="304"/>
      <c r="IM348" s="304"/>
      <c r="IN348" s="304"/>
      <c r="IO348" s="304"/>
      <c r="IP348" s="304"/>
      <c r="IQ348" s="304"/>
      <c r="IR348" s="304"/>
      <c r="IS348" s="304"/>
      <c r="IT348" s="304"/>
      <c r="IU348" s="304"/>
      <c r="IV348" s="304"/>
    </row>
    <row r="349" spans="1:15" ht="23.25">
      <c r="A349" s="397">
        <v>5</v>
      </c>
      <c r="B349" s="398" t="s">
        <v>559</v>
      </c>
      <c r="C349" s="399">
        <v>0.04</v>
      </c>
      <c r="D349" s="400">
        <v>102310</v>
      </c>
      <c r="E349" s="401">
        <f>$E$300*C349</f>
        <v>102310</v>
      </c>
      <c r="F349" s="402"/>
      <c r="G349" s="425">
        <f t="shared" si="29"/>
        <v>1</v>
      </c>
      <c r="H349" s="401">
        <f t="shared" si="62"/>
        <v>102310</v>
      </c>
      <c r="I349" s="401">
        <f>+I350+I351+I352</f>
        <v>78848</v>
      </c>
      <c r="J349" s="403">
        <f t="shared" si="38"/>
        <v>0.22932264685758968</v>
      </c>
      <c r="K349" s="404">
        <f>SUM(K350:K352)</f>
        <v>23462</v>
      </c>
      <c r="M349" s="174">
        <f t="shared" si="1"/>
        <v>23462</v>
      </c>
      <c r="O349" s="144"/>
    </row>
    <row r="350" spans="1:256" ht="23.25">
      <c r="A350" s="251" t="s">
        <v>436</v>
      </c>
      <c r="B350" s="252" t="s">
        <v>560</v>
      </c>
      <c r="C350" s="378">
        <f aca="true" t="shared" si="64" ref="C350:C352">+E350/$E$349</f>
        <v>0.2932264685758968</v>
      </c>
      <c r="D350" s="254"/>
      <c r="E350" s="257">
        <v>30000</v>
      </c>
      <c r="F350" s="255"/>
      <c r="G350" s="256">
        <f t="shared" si="29"/>
        <v>1</v>
      </c>
      <c r="H350" s="257">
        <f t="shared" si="62"/>
        <v>30000</v>
      </c>
      <c r="I350" s="257">
        <v>21000</v>
      </c>
      <c r="J350" s="384">
        <f t="shared" si="38"/>
        <v>0.3</v>
      </c>
      <c r="K350" s="258">
        <v>9000</v>
      </c>
      <c r="M350" s="174">
        <f t="shared" si="1"/>
        <v>9000</v>
      </c>
      <c r="O350" s="144"/>
      <c r="FH350" s="304"/>
      <c r="FI350" s="304"/>
      <c r="FJ350" s="304"/>
      <c r="FK350" s="304"/>
      <c r="FL350" s="304"/>
      <c r="FM350" s="304"/>
      <c r="FN350" s="304"/>
      <c r="FO350" s="304"/>
      <c r="FP350" s="304"/>
      <c r="FQ350" s="304"/>
      <c r="FR350" s="304"/>
      <c r="FS350" s="304"/>
      <c r="FT350" s="304"/>
      <c r="FU350" s="304"/>
      <c r="FV350" s="304"/>
      <c r="FW350" s="304"/>
      <c r="FX350" s="304"/>
      <c r="FY350" s="304"/>
      <c r="FZ350" s="304"/>
      <c r="GA350" s="304"/>
      <c r="GB350" s="304"/>
      <c r="GC350" s="304"/>
      <c r="GD350" s="304"/>
      <c r="GE350" s="304"/>
      <c r="GF350" s="304"/>
      <c r="GG350" s="304"/>
      <c r="GH350" s="304"/>
      <c r="GI350" s="304"/>
      <c r="GJ350" s="304"/>
      <c r="GK350" s="304"/>
      <c r="GL350" s="304"/>
      <c r="GM350" s="304"/>
      <c r="GN350" s="304"/>
      <c r="GO350" s="304"/>
      <c r="GP350" s="304"/>
      <c r="GQ350" s="304"/>
      <c r="GR350" s="304"/>
      <c r="GS350" s="304"/>
      <c r="GT350" s="304"/>
      <c r="GU350" s="304"/>
      <c r="GV350" s="304"/>
      <c r="GW350" s="304"/>
      <c r="GX350" s="304"/>
      <c r="GY350" s="304"/>
      <c r="GZ350" s="304"/>
      <c r="HA350" s="304"/>
      <c r="HB350" s="304"/>
      <c r="HC350" s="304"/>
      <c r="HD350" s="304"/>
      <c r="HE350" s="304"/>
      <c r="HF350" s="304"/>
      <c r="HG350" s="304"/>
      <c r="HH350" s="304"/>
      <c r="HI350" s="304"/>
      <c r="HJ350" s="304"/>
      <c r="HK350" s="304"/>
      <c r="HL350" s="304"/>
      <c r="HM350" s="304"/>
      <c r="HN350" s="304"/>
      <c r="HO350" s="304"/>
      <c r="HP350" s="304"/>
      <c r="HQ350" s="304"/>
      <c r="HR350" s="304"/>
      <c r="HS350" s="304"/>
      <c r="HT350" s="304"/>
      <c r="HU350" s="304"/>
      <c r="HV350" s="304"/>
      <c r="HW350" s="304"/>
      <c r="HX350" s="304"/>
      <c r="HY350" s="304"/>
      <c r="HZ350" s="304"/>
      <c r="IA350" s="304"/>
      <c r="IB350" s="304"/>
      <c r="IC350" s="304"/>
      <c r="ID350" s="304"/>
      <c r="IE350" s="304"/>
      <c r="IF350" s="304"/>
      <c r="IG350" s="304"/>
      <c r="IH350" s="304"/>
      <c r="II350" s="304"/>
      <c r="IJ350" s="304"/>
      <c r="IK350" s="304"/>
      <c r="IL350" s="304"/>
      <c r="IM350" s="304"/>
      <c r="IN350" s="304"/>
      <c r="IO350" s="304"/>
      <c r="IP350" s="304"/>
      <c r="IQ350" s="304"/>
      <c r="IR350" s="304"/>
      <c r="IS350" s="304"/>
      <c r="IT350" s="304"/>
      <c r="IU350" s="304"/>
      <c r="IV350" s="304"/>
    </row>
    <row r="351" spans="1:256" ht="23.25">
      <c r="A351" s="251" t="s">
        <v>437</v>
      </c>
      <c r="B351" s="252" t="s">
        <v>561</v>
      </c>
      <c r="C351" s="378">
        <f t="shared" si="64"/>
        <v>0.6921122079953084</v>
      </c>
      <c r="D351" s="254"/>
      <c r="E351" s="257">
        <v>70810</v>
      </c>
      <c r="F351" s="255"/>
      <c r="G351" s="256">
        <f t="shared" si="29"/>
        <v>1</v>
      </c>
      <c r="H351" s="257">
        <f t="shared" si="62"/>
        <v>70810</v>
      </c>
      <c r="I351" s="257">
        <v>56648</v>
      </c>
      <c r="J351" s="384">
        <f t="shared" si="38"/>
        <v>0.2</v>
      </c>
      <c r="K351" s="258">
        <v>14162</v>
      </c>
      <c r="M351" s="174">
        <f t="shared" si="1"/>
        <v>14162</v>
      </c>
      <c r="O351" s="144"/>
      <c r="FH351" s="304"/>
      <c r="FI351" s="304"/>
      <c r="FJ351" s="304"/>
      <c r="FK351" s="304"/>
      <c r="FL351" s="304"/>
      <c r="FM351" s="304"/>
      <c r="FN351" s="304"/>
      <c r="FO351" s="304"/>
      <c r="FP351" s="304"/>
      <c r="FQ351" s="304"/>
      <c r="FR351" s="304"/>
      <c r="FS351" s="304"/>
      <c r="FT351" s="304"/>
      <c r="FU351" s="304"/>
      <c r="FV351" s="304"/>
      <c r="FW351" s="304"/>
      <c r="FX351" s="304"/>
      <c r="FY351" s="304"/>
      <c r="FZ351" s="304"/>
      <c r="GA351" s="304"/>
      <c r="GB351" s="304"/>
      <c r="GC351" s="304"/>
      <c r="GD351" s="304"/>
      <c r="GE351" s="304"/>
      <c r="GF351" s="304"/>
      <c r="GG351" s="304"/>
      <c r="GH351" s="304"/>
      <c r="GI351" s="304"/>
      <c r="GJ351" s="304"/>
      <c r="GK351" s="304"/>
      <c r="GL351" s="304"/>
      <c r="GM351" s="304"/>
      <c r="GN351" s="304"/>
      <c r="GO351" s="304"/>
      <c r="GP351" s="304"/>
      <c r="GQ351" s="304"/>
      <c r="GR351" s="304"/>
      <c r="GS351" s="304"/>
      <c r="GT351" s="304"/>
      <c r="GU351" s="304"/>
      <c r="GV351" s="304"/>
      <c r="GW351" s="304"/>
      <c r="GX351" s="304"/>
      <c r="GY351" s="304"/>
      <c r="GZ351" s="304"/>
      <c r="HA351" s="304"/>
      <c r="HB351" s="304"/>
      <c r="HC351" s="304"/>
      <c r="HD351" s="304"/>
      <c r="HE351" s="304"/>
      <c r="HF351" s="304"/>
      <c r="HG351" s="304"/>
      <c r="HH351" s="304"/>
      <c r="HI351" s="304"/>
      <c r="HJ351" s="304"/>
      <c r="HK351" s="304"/>
      <c r="HL351" s="304"/>
      <c r="HM351" s="304"/>
      <c r="HN351" s="304"/>
      <c r="HO351" s="304"/>
      <c r="HP351" s="304"/>
      <c r="HQ351" s="304"/>
      <c r="HR351" s="304"/>
      <c r="HS351" s="304"/>
      <c r="HT351" s="304"/>
      <c r="HU351" s="304"/>
      <c r="HV351" s="304"/>
      <c r="HW351" s="304"/>
      <c r="HX351" s="304"/>
      <c r="HY351" s="304"/>
      <c r="HZ351" s="304"/>
      <c r="IA351" s="304"/>
      <c r="IB351" s="304"/>
      <c r="IC351" s="304"/>
      <c r="ID351" s="304"/>
      <c r="IE351" s="304"/>
      <c r="IF351" s="304"/>
      <c r="IG351" s="304"/>
      <c r="IH351" s="304"/>
      <c r="II351" s="304"/>
      <c r="IJ351" s="304"/>
      <c r="IK351" s="304"/>
      <c r="IL351" s="304"/>
      <c r="IM351" s="304"/>
      <c r="IN351" s="304"/>
      <c r="IO351" s="304"/>
      <c r="IP351" s="304"/>
      <c r="IQ351" s="304"/>
      <c r="IR351" s="304"/>
      <c r="IS351" s="304"/>
      <c r="IT351" s="304"/>
      <c r="IU351" s="304"/>
      <c r="IV351" s="304"/>
    </row>
    <row r="352" spans="1:256" ht="23.25">
      <c r="A352" s="251" t="s">
        <v>439</v>
      </c>
      <c r="B352" s="252" t="s">
        <v>527</v>
      </c>
      <c r="C352" s="378">
        <f t="shared" si="64"/>
        <v>0.014661323428794839</v>
      </c>
      <c r="D352" s="254"/>
      <c r="E352" s="257">
        <v>1500</v>
      </c>
      <c r="F352" s="255"/>
      <c r="G352" s="256">
        <f t="shared" si="29"/>
        <v>1</v>
      </c>
      <c r="H352" s="257">
        <f t="shared" si="62"/>
        <v>1500</v>
      </c>
      <c r="I352" s="257">
        <v>1200</v>
      </c>
      <c r="J352" s="384">
        <f t="shared" si="38"/>
        <v>0.2</v>
      </c>
      <c r="K352" s="258">
        <v>300</v>
      </c>
      <c r="M352" s="174">
        <f t="shared" si="1"/>
        <v>300</v>
      </c>
      <c r="O352" s="144"/>
      <c r="FH352" s="304"/>
      <c r="FI352" s="304"/>
      <c r="FJ352" s="304"/>
      <c r="FK352" s="304"/>
      <c r="FL352" s="304"/>
      <c r="FM352" s="304"/>
      <c r="FN352" s="304"/>
      <c r="FO352" s="304"/>
      <c r="FP352" s="304"/>
      <c r="FQ352" s="304"/>
      <c r="FR352" s="304"/>
      <c r="FS352" s="304"/>
      <c r="FT352" s="304"/>
      <c r="FU352" s="304"/>
      <c r="FV352" s="304"/>
      <c r="FW352" s="304"/>
      <c r="FX352" s="304"/>
      <c r="FY352" s="304"/>
      <c r="FZ352" s="304"/>
      <c r="GA352" s="304"/>
      <c r="GB352" s="304"/>
      <c r="GC352" s="304"/>
      <c r="GD352" s="304"/>
      <c r="GE352" s="304"/>
      <c r="GF352" s="304"/>
      <c r="GG352" s="304"/>
      <c r="GH352" s="304"/>
      <c r="GI352" s="304"/>
      <c r="GJ352" s="304"/>
      <c r="GK352" s="304"/>
      <c r="GL352" s="304"/>
      <c r="GM352" s="304"/>
      <c r="GN352" s="304"/>
      <c r="GO352" s="304"/>
      <c r="GP352" s="304"/>
      <c r="GQ352" s="304"/>
      <c r="GR352" s="304"/>
      <c r="GS352" s="304"/>
      <c r="GT352" s="304"/>
      <c r="GU352" s="304"/>
      <c r="GV352" s="304"/>
      <c r="GW352" s="304"/>
      <c r="GX352" s="304"/>
      <c r="GY352" s="304"/>
      <c r="GZ352" s="304"/>
      <c r="HA352" s="304"/>
      <c r="HB352" s="304"/>
      <c r="HC352" s="304"/>
      <c r="HD352" s="304"/>
      <c r="HE352" s="304"/>
      <c r="HF352" s="304"/>
      <c r="HG352" s="304"/>
      <c r="HH352" s="304"/>
      <c r="HI352" s="304"/>
      <c r="HJ352" s="304"/>
      <c r="HK352" s="304"/>
      <c r="HL352" s="304"/>
      <c r="HM352" s="304"/>
      <c r="HN352" s="304"/>
      <c r="HO352" s="304"/>
      <c r="HP352" s="304"/>
      <c r="HQ352" s="304"/>
      <c r="HR352" s="304"/>
      <c r="HS352" s="304"/>
      <c r="HT352" s="304"/>
      <c r="HU352" s="304"/>
      <c r="HV352" s="304"/>
      <c r="HW352" s="304"/>
      <c r="HX352" s="304"/>
      <c r="HY352" s="304"/>
      <c r="HZ352" s="304"/>
      <c r="IA352" s="304"/>
      <c r="IB352" s="304"/>
      <c r="IC352" s="304"/>
      <c r="ID352" s="304"/>
      <c r="IE352" s="304"/>
      <c r="IF352" s="304"/>
      <c r="IG352" s="304"/>
      <c r="IH352" s="304"/>
      <c r="II352" s="304"/>
      <c r="IJ352" s="304"/>
      <c r="IK352" s="304"/>
      <c r="IL352" s="304"/>
      <c r="IM352" s="304"/>
      <c r="IN352" s="304"/>
      <c r="IO352" s="304"/>
      <c r="IP352" s="304"/>
      <c r="IQ352" s="304"/>
      <c r="IR352" s="304"/>
      <c r="IS352" s="304"/>
      <c r="IT352" s="304"/>
      <c r="IU352" s="304"/>
      <c r="IV352" s="304"/>
    </row>
    <row r="353" spans="1:15" ht="23.25">
      <c r="A353" s="385">
        <v>6</v>
      </c>
      <c r="B353" s="386" t="s">
        <v>562</v>
      </c>
      <c r="C353" s="387">
        <v>0.08</v>
      </c>
      <c r="D353" s="388">
        <v>204620</v>
      </c>
      <c r="E353" s="389">
        <f>$E$300*C353</f>
        <v>204620</v>
      </c>
      <c r="F353" s="390"/>
      <c r="G353" s="426">
        <f t="shared" si="29"/>
        <v>1</v>
      </c>
      <c r="H353" s="389">
        <f t="shared" si="62"/>
        <v>204620</v>
      </c>
      <c r="I353" s="389">
        <f>+I354+I355</f>
        <v>114587.20000000001</v>
      </c>
      <c r="J353" s="391">
        <f t="shared" si="38"/>
        <v>0.44</v>
      </c>
      <c r="K353" s="392">
        <f>SUM(K354:K355)</f>
        <v>90032.8</v>
      </c>
      <c r="M353" s="174">
        <f t="shared" si="1"/>
        <v>90032.79999999999</v>
      </c>
      <c r="O353" s="144"/>
    </row>
    <row r="354" spans="1:15" ht="23.25">
      <c r="A354" s="251" t="s">
        <v>483</v>
      </c>
      <c r="B354" s="252" t="s">
        <v>563</v>
      </c>
      <c r="C354" s="253">
        <f aca="true" t="shared" si="65" ref="C354:C355">E354/$E$353</f>
        <v>0.8</v>
      </c>
      <c r="D354" s="254"/>
      <c r="E354" s="257">
        <f>E353*0.8</f>
        <v>163696</v>
      </c>
      <c r="F354" s="255"/>
      <c r="G354" s="256">
        <f t="shared" si="29"/>
        <v>1</v>
      </c>
      <c r="H354" s="257">
        <f t="shared" si="62"/>
        <v>163696</v>
      </c>
      <c r="I354" s="257">
        <v>98217.6</v>
      </c>
      <c r="J354" s="384">
        <f t="shared" si="38"/>
        <v>0.4</v>
      </c>
      <c r="K354" s="258">
        <f>+E354*0.4</f>
        <v>65478.4</v>
      </c>
      <c r="M354" s="174">
        <f t="shared" si="1"/>
        <v>65478.399999999994</v>
      </c>
      <c r="O354" s="144"/>
    </row>
    <row r="355" spans="1:15" ht="23.25">
      <c r="A355" s="427" t="s">
        <v>484</v>
      </c>
      <c r="B355" s="428" t="s">
        <v>564</v>
      </c>
      <c r="C355" s="261">
        <f t="shared" si="65"/>
        <v>0.2</v>
      </c>
      <c r="D355" s="429"/>
      <c r="E355" s="429">
        <f>E353*0.2</f>
        <v>40924</v>
      </c>
      <c r="F355" s="427"/>
      <c r="G355" s="264">
        <f t="shared" si="29"/>
        <v>1</v>
      </c>
      <c r="H355" s="265">
        <f t="shared" si="62"/>
        <v>40924</v>
      </c>
      <c r="I355" s="430">
        <v>16369.6</v>
      </c>
      <c r="J355" s="332">
        <f t="shared" si="38"/>
        <v>0.6</v>
      </c>
      <c r="K355" s="431">
        <f>+E355*0.6</f>
        <v>24554.399999999998</v>
      </c>
      <c r="M355" s="174">
        <f t="shared" si="1"/>
        <v>24554.4</v>
      </c>
      <c r="O355" s="144"/>
    </row>
    <row r="356" spans="1:15" ht="43.5">
      <c r="A356" s="432">
        <v>7</v>
      </c>
      <c r="B356" s="276" t="s">
        <v>565</v>
      </c>
      <c r="C356" s="277">
        <v>0.26</v>
      </c>
      <c r="D356" s="278">
        <v>665015</v>
      </c>
      <c r="E356" s="233">
        <f>$E$300*C356</f>
        <v>665015</v>
      </c>
      <c r="F356" s="279"/>
      <c r="G356" s="232">
        <f t="shared" si="29"/>
        <v>0.9624068630030902</v>
      </c>
      <c r="H356" s="233">
        <f>+H357+H362+H369+H372</f>
        <v>640015</v>
      </c>
      <c r="I356" s="233">
        <f>+I357+I362+I369+I372</f>
        <v>629015</v>
      </c>
      <c r="J356" s="267">
        <f t="shared" si="38"/>
        <v>0.01654098027864033</v>
      </c>
      <c r="K356" s="234">
        <f>SUM(K357,K362,K369,K372)</f>
        <v>11000</v>
      </c>
      <c r="M356" s="174">
        <f t="shared" si="1"/>
        <v>11000</v>
      </c>
      <c r="O356" s="144"/>
    </row>
    <row r="357" spans="1:256" ht="23.25">
      <c r="A357" s="243" t="s">
        <v>566</v>
      </c>
      <c r="B357" s="244" t="s">
        <v>567</v>
      </c>
      <c r="C357" s="245">
        <f>+E357/E356</f>
        <v>0.3338496124147576</v>
      </c>
      <c r="D357" s="246">
        <v>565262.75</v>
      </c>
      <c r="E357" s="249">
        <f>+E358+E359+E360+E361</f>
        <v>222015</v>
      </c>
      <c r="F357" s="247"/>
      <c r="G357" s="248">
        <f t="shared" si="29"/>
        <v>0.9459495980001351</v>
      </c>
      <c r="H357" s="249">
        <f>+H358+H359+H360+H361</f>
        <v>210015</v>
      </c>
      <c r="I357" s="249">
        <f>+I358+I359+I360</f>
        <v>210015</v>
      </c>
      <c r="J357" s="248">
        <f t="shared" si="38"/>
        <v>0</v>
      </c>
      <c r="K357" s="250">
        <f>SUM(K358:K361)</f>
        <v>0</v>
      </c>
      <c r="M357" s="174">
        <f t="shared" si="1"/>
        <v>0</v>
      </c>
      <c r="O357" s="144"/>
      <c r="FH357" s="304"/>
      <c r="FI357" s="304"/>
      <c r="FJ357" s="304"/>
      <c r="FK357" s="304"/>
      <c r="FL357" s="304"/>
      <c r="FM357" s="304"/>
      <c r="FN357" s="304"/>
      <c r="FO357" s="304"/>
      <c r="FP357" s="304"/>
      <c r="FQ357" s="304"/>
      <c r="FR357" s="304"/>
      <c r="FS357" s="304"/>
      <c r="FT357" s="304"/>
      <c r="FU357" s="304"/>
      <c r="FV357" s="304"/>
      <c r="FW357" s="304"/>
      <c r="FX357" s="304"/>
      <c r="FY357" s="304"/>
      <c r="FZ357" s="304"/>
      <c r="GA357" s="304"/>
      <c r="GB357" s="304"/>
      <c r="GC357" s="304"/>
      <c r="GD357" s="304"/>
      <c r="GE357" s="304"/>
      <c r="GF357" s="304"/>
      <c r="GG357" s="304"/>
      <c r="GH357" s="304"/>
      <c r="GI357" s="304"/>
      <c r="GJ357" s="304"/>
      <c r="GK357" s="304"/>
      <c r="GL357" s="304"/>
      <c r="GM357" s="304"/>
      <c r="GN357" s="304"/>
      <c r="GO357" s="304"/>
      <c r="GP357" s="304"/>
      <c r="GQ357" s="304"/>
      <c r="GR357" s="304"/>
      <c r="GS357" s="304"/>
      <c r="GT357" s="304"/>
      <c r="GU357" s="304"/>
      <c r="GV357" s="304"/>
      <c r="GW357" s="304"/>
      <c r="GX357" s="304"/>
      <c r="GY357" s="304"/>
      <c r="GZ357" s="304"/>
      <c r="HA357" s="304"/>
      <c r="HB357" s="304"/>
      <c r="HC357" s="304"/>
      <c r="HD357" s="304"/>
      <c r="HE357" s="304"/>
      <c r="HF357" s="304"/>
      <c r="HG357" s="304"/>
      <c r="HH357" s="304"/>
      <c r="HI357" s="304"/>
      <c r="HJ357" s="304"/>
      <c r="HK357" s="304"/>
      <c r="HL357" s="304"/>
      <c r="HM357" s="304"/>
      <c r="HN357" s="304"/>
      <c r="HO357" s="304"/>
      <c r="HP357" s="304"/>
      <c r="HQ357" s="304"/>
      <c r="HR357" s="304"/>
      <c r="HS357" s="304"/>
      <c r="HT357" s="304"/>
      <c r="HU357" s="304"/>
      <c r="HV357" s="304"/>
      <c r="HW357" s="304"/>
      <c r="HX357" s="304"/>
      <c r="HY357" s="304"/>
      <c r="HZ357" s="304"/>
      <c r="IA357" s="304"/>
      <c r="IB357" s="304"/>
      <c r="IC357" s="304"/>
      <c r="ID357" s="304"/>
      <c r="IE357" s="304"/>
      <c r="IF357" s="304"/>
      <c r="IG357" s="304"/>
      <c r="IH357" s="304"/>
      <c r="II357" s="304"/>
      <c r="IJ357" s="304"/>
      <c r="IK357" s="304"/>
      <c r="IL357" s="304"/>
      <c r="IM357" s="304"/>
      <c r="IN357" s="304"/>
      <c r="IO357" s="304"/>
      <c r="IP357" s="304"/>
      <c r="IQ357" s="304"/>
      <c r="IR357" s="304"/>
      <c r="IS357" s="304"/>
      <c r="IT357" s="304"/>
      <c r="IU357" s="304"/>
      <c r="IV357" s="304"/>
    </row>
    <row r="358" spans="1:256" ht="23.25">
      <c r="A358" s="293" t="s">
        <v>568</v>
      </c>
      <c r="B358" s="372" t="s">
        <v>569</v>
      </c>
      <c r="C358" s="433">
        <f aca="true" t="shared" si="66" ref="C358:C361">+E358/$E$357</f>
        <v>0.27025200999932436</v>
      </c>
      <c r="D358" s="296"/>
      <c r="E358" s="337">
        <v>60000</v>
      </c>
      <c r="F358" s="297"/>
      <c r="G358" s="374">
        <f t="shared" si="29"/>
        <v>1</v>
      </c>
      <c r="H358" s="337">
        <f aca="true" t="shared" si="67" ref="H358:H375">+I358+K358</f>
        <v>60000</v>
      </c>
      <c r="I358" s="337">
        <v>60000</v>
      </c>
      <c r="J358" s="374">
        <f t="shared" si="38"/>
        <v>0</v>
      </c>
      <c r="K358" s="375">
        <v>0</v>
      </c>
      <c r="M358" s="174">
        <f t="shared" si="1"/>
        <v>0</v>
      </c>
      <c r="O358" s="144"/>
      <c r="FH358" s="304"/>
      <c r="FI358" s="304"/>
      <c r="FJ358" s="304"/>
      <c r="FK358" s="304"/>
      <c r="FL358" s="304"/>
      <c r="FM358" s="304"/>
      <c r="FN358" s="304"/>
      <c r="FO358" s="304"/>
      <c r="FP358" s="304"/>
      <c r="FQ358" s="304"/>
      <c r="FR358" s="304"/>
      <c r="FS358" s="304"/>
      <c r="FT358" s="304"/>
      <c r="FU358" s="304"/>
      <c r="FV358" s="304"/>
      <c r="FW358" s="304"/>
      <c r="FX358" s="304"/>
      <c r="FY358" s="304"/>
      <c r="FZ358" s="304"/>
      <c r="GA358" s="304"/>
      <c r="GB358" s="304"/>
      <c r="GC358" s="304"/>
      <c r="GD358" s="304"/>
      <c r="GE358" s="304"/>
      <c r="GF358" s="304"/>
      <c r="GG358" s="304"/>
      <c r="GH358" s="304"/>
      <c r="GI358" s="304"/>
      <c r="GJ358" s="304"/>
      <c r="GK358" s="304"/>
      <c r="GL358" s="304"/>
      <c r="GM358" s="304"/>
      <c r="GN358" s="304"/>
      <c r="GO358" s="304"/>
      <c r="GP358" s="304"/>
      <c r="GQ358" s="304"/>
      <c r="GR358" s="304"/>
      <c r="GS358" s="304"/>
      <c r="GT358" s="304"/>
      <c r="GU358" s="304"/>
      <c r="GV358" s="304"/>
      <c r="GW358" s="304"/>
      <c r="GX358" s="304"/>
      <c r="GY358" s="304"/>
      <c r="GZ358" s="304"/>
      <c r="HA358" s="304"/>
      <c r="HB358" s="304"/>
      <c r="HC358" s="304"/>
      <c r="HD358" s="304"/>
      <c r="HE358" s="304"/>
      <c r="HF358" s="304"/>
      <c r="HG358" s="304"/>
      <c r="HH358" s="304"/>
      <c r="HI358" s="304"/>
      <c r="HJ358" s="304"/>
      <c r="HK358" s="304"/>
      <c r="HL358" s="304"/>
      <c r="HM358" s="304"/>
      <c r="HN358" s="304"/>
      <c r="HO358" s="304"/>
      <c r="HP358" s="304"/>
      <c r="HQ358" s="304"/>
      <c r="HR358" s="304"/>
      <c r="HS358" s="304"/>
      <c r="HT358" s="304"/>
      <c r="HU358" s="304"/>
      <c r="HV358" s="304"/>
      <c r="HW358" s="304"/>
      <c r="HX358" s="304"/>
      <c r="HY358" s="304"/>
      <c r="HZ358" s="304"/>
      <c r="IA358" s="304"/>
      <c r="IB358" s="304"/>
      <c r="IC358" s="304"/>
      <c r="ID358" s="304"/>
      <c r="IE358" s="304"/>
      <c r="IF358" s="304"/>
      <c r="IG358" s="304"/>
      <c r="IH358" s="304"/>
      <c r="II358" s="304"/>
      <c r="IJ358" s="304"/>
      <c r="IK358" s="304"/>
      <c r="IL358" s="304"/>
      <c r="IM358" s="304"/>
      <c r="IN358" s="304"/>
      <c r="IO358" s="304"/>
      <c r="IP358" s="304"/>
      <c r="IQ358" s="304"/>
      <c r="IR358" s="304"/>
      <c r="IS358" s="304"/>
      <c r="IT358" s="304"/>
      <c r="IU358" s="304"/>
      <c r="IV358" s="304"/>
    </row>
    <row r="359" spans="1:256" ht="23.25">
      <c r="A359" s="293" t="s">
        <v>570</v>
      </c>
      <c r="B359" s="372" t="s">
        <v>571</v>
      </c>
      <c r="C359" s="433">
        <f t="shared" si="66"/>
        <v>0.27025200999932436</v>
      </c>
      <c r="D359" s="296"/>
      <c r="E359" s="337">
        <v>60000</v>
      </c>
      <c r="F359" s="297"/>
      <c r="G359" s="374">
        <f t="shared" si="29"/>
        <v>1</v>
      </c>
      <c r="H359" s="337">
        <f t="shared" si="67"/>
        <v>60000</v>
      </c>
      <c r="I359" s="337">
        <v>60000</v>
      </c>
      <c r="J359" s="374">
        <f t="shared" si="38"/>
        <v>0</v>
      </c>
      <c r="K359" s="375">
        <v>0</v>
      </c>
      <c r="M359" s="174">
        <f t="shared" si="1"/>
        <v>0</v>
      </c>
      <c r="O359" s="144"/>
      <c r="FH359" s="304"/>
      <c r="FI359" s="304"/>
      <c r="FJ359" s="304"/>
      <c r="FK359" s="304"/>
      <c r="FL359" s="304"/>
      <c r="FM359" s="304"/>
      <c r="FN359" s="304"/>
      <c r="FO359" s="304"/>
      <c r="FP359" s="304"/>
      <c r="FQ359" s="304"/>
      <c r="FR359" s="304"/>
      <c r="FS359" s="304"/>
      <c r="FT359" s="304"/>
      <c r="FU359" s="304"/>
      <c r="FV359" s="304"/>
      <c r="FW359" s="304"/>
      <c r="FX359" s="304"/>
      <c r="FY359" s="304"/>
      <c r="FZ359" s="304"/>
      <c r="GA359" s="304"/>
      <c r="GB359" s="304"/>
      <c r="GC359" s="304"/>
      <c r="GD359" s="304"/>
      <c r="GE359" s="304"/>
      <c r="GF359" s="304"/>
      <c r="GG359" s="304"/>
      <c r="GH359" s="304"/>
      <c r="GI359" s="304"/>
      <c r="GJ359" s="304"/>
      <c r="GK359" s="304"/>
      <c r="GL359" s="304"/>
      <c r="GM359" s="304"/>
      <c r="GN359" s="304"/>
      <c r="GO359" s="304"/>
      <c r="GP359" s="304"/>
      <c r="GQ359" s="304"/>
      <c r="GR359" s="304"/>
      <c r="GS359" s="304"/>
      <c r="GT359" s="304"/>
      <c r="GU359" s="304"/>
      <c r="GV359" s="304"/>
      <c r="GW359" s="304"/>
      <c r="GX359" s="304"/>
      <c r="GY359" s="304"/>
      <c r="GZ359" s="304"/>
      <c r="HA359" s="304"/>
      <c r="HB359" s="304"/>
      <c r="HC359" s="304"/>
      <c r="HD359" s="304"/>
      <c r="HE359" s="304"/>
      <c r="HF359" s="304"/>
      <c r="HG359" s="304"/>
      <c r="HH359" s="304"/>
      <c r="HI359" s="304"/>
      <c r="HJ359" s="304"/>
      <c r="HK359" s="304"/>
      <c r="HL359" s="304"/>
      <c r="HM359" s="304"/>
      <c r="HN359" s="304"/>
      <c r="HO359" s="304"/>
      <c r="HP359" s="304"/>
      <c r="HQ359" s="304"/>
      <c r="HR359" s="304"/>
      <c r="HS359" s="304"/>
      <c r="HT359" s="304"/>
      <c r="HU359" s="304"/>
      <c r="HV359" s="304"/>
      <c r="HW359" s="304"/>
      <c r="HX359" s="304"/>
      <c r="HY359" s="304"/>
      <c r="HZ359" s="304"/>
      <c r="IA359" s="304"/>
      <c r="IB359" s="304"/>
      <c r="IC359" s="304"/>
      <c r="ID359" s="304"/>
      <c r="IE359" s="304"/>
      <c r="IF359" s="304"/>
      <c r="IG359" s="304"/>
      <c r="IH359" s="304"/>
      <c r="II359" s="304"/>
      <c r="IJ359" s="304"/>
      <c r="IK359" s="304"/>
      <c r="IL359" s="304"/>
      <c r="IM359" s="304"/>
      <c r="IN359" s="304"/>
      <c r="IO359" s="304"/>
      <c r="IP359" s="304"/>
      <c r="IQ359" s="304"/>
      <c r="IR359" s="304"/>
      <c r="IS359" s="304"/>
      <c r="IT359" s="304"/>
      <c r="IU359" s="304"/>
      <c r="IV359" s="304"/>
    </row>
    <row r="360" spans="1:256" ht="23.25">
      <c r="A360" s="293" t="s">
        <v>572</v>
      </c>
      <c r="B360" s="372" t="s">
        <v>573</v>
      </c>
      <c r="C360" s="433">
        <f t="shared" si="66"/>
        <v>0.4054455780014864</v>
      </c>
      <c r="D360" s="296"/>
      <c r="E360" s="337">
        <v>90015</v>
      </c>
      <c r="F360" s="297"/>
      <c r="G360" s="374">
        <f t="shared" si="29"/>
        <v>1</v>
      </c>
      <c r="H360" s="337">
        <f t="shared" si="67"/>
        <v>90015</v>
      </c>
      <c r="I360" s="337">
        <v>90015</v>
      </c>
      <c r="J360" s="374">
        <f t="shared" si="38"/>
        <v>0</v>
      </c>
      <c r="K360" s="375">
        <v>0</v>
      </c>
      <c r="M360" s="174">
        <f t="shared" si="1"/>
        <v>0</v>
      </c>
      <c r="O360" s="144"/>
      <c r="FH360" s="304"/>
      <c r="FI360" s="304"/>
      <c r="FJ360" s="304"/>
      <c r="FK360" s="304"/>
      <c r="FL360" s="304"/>
      <c r="FM360" s="304"/>
      <c r="FN360" s="304"/>
      <c r="FO360" s="304"/>
      <c r="FP360" s="304"/>
      <c r="FQ360" s="304"/>
      <c r="FR360" s="304"/>
      <c r="FS360" s="304"/>
      <c r="FT360" s="304"/>
      <c r="FU360" s="304"/>
      <c r="FV360" s="304"/>
      <c r="FW360" s="304"/>
      <c r="FX360" s="304"/>
      <c r="FY360" s="304"/>
      <c r="FZ360" s="304"/>
      <c r="GA360" s="304"/>
      <c r="GB360" s="304"/>
      <c r="GC360" s="304"/>
      <c r="GD360" s="304"/>
      <c r="GE360" s="304"/>
      <c r="GF360" s="304"/>
      <c r="GG360" s="304"/>
      <c r="GH360" s="304"/>
      <c r="GI360" s="304"/>
      <c r="GJ360" s="304"/>
      <c r="GK360" s="304"/>
      <c r="GL360" s="304"/>
      <c r="GM360" s="304"/>
      <c r="GN360" s="304"/>
      <c r="GO360" s="304"/>
      <c r="GP360" s="304"/>
      <c r="GQ360" s="304"/>
      <c r="GR360" s="304"/>
      <c r="GS360" s="304"/>
      <c r="GT360" s="304"/>
      <c r="GU360" s="304"/>
      <c r="GV360" s="304"/>
      <c r="GW360" s="304"/>
      <c r="GX360" s="304"/>
      <c r="GY360" s="304"/>
      <c r="GZ360" s="304"/>
      <c r="HA360" s="304"/>
      <c r="HB360" s="304"/>
      <c r="HC360" s="304"/>
      <c r="HD360" s="304"/>
      <c r="HE360" s="304"/>
      <c r="HF360" s="304"/>
      <c r="HG360" s="304"/>
      <c r="HH360" s="304"/>
      <c r="HI360" s="304"/>
      <c r="HJ360" s="304"/>
      <c r="HK360" s="304"/>
      <c r="HL360" s="304"/>
      <c r="HM360" s="304"/>
      <c r="HN360" s="304"/>
      <c r="HO360" s="304"/>
      <c r="HP360" s="304"/>
      <c r="HQ360" s="304"/>
      <c r="HR360" s="304"/>
      <c r="HS360" s="304"/>
      <c r="HT360" s="304"/>
      <c r="HU360" s="304"/>
      <c r="HV360" s="304"/>
      <c r="HW360" s="304"/>
      <c r="HX360" s="304"/>
      <c r="HY360" s="304"/>
      <c r="HZ360" s="304"/>
      <c r="IA360" s="304"/>
      <c r="IB360" s="304"/>
      <c r="IC360" s="304"/>
      <c r="ID360" s="304"/>
      <c r="IE360" s="304"/>
      <c r="IF360" s="304"/>
      <c r="IG360" s="304"/>
      <c r="IH360" s="304"/>
      <c r="II360" s="304"/>
      <c r="IJ360" s="304"/>
      <c r="IK360" s="304"/>
      <c r="IL360" s="304"/>
      <c r="IM360" s="304"/>
      <c r="IN360" s="304"/>
      <c r="IO360" s="304"/>
      <c r="IP360" s="304"/>
      <c r="IQ360" s="304"/>
      <c r="IR360" s="304"/>
      <c r="IS360" s="304"/>
      <c r="IT360" s="304"/>
      <c r="IU360" s="304"/>
      <c r="IV360" s="304"/>
    </row>
    <row r="361" spans="1:256" ht="23.25">
      <c r="A361" s="293" t="s">
        <v>574</v>
      </c>
      <c r="B361" s="372" t="s">
        <v>575</v>
      </c>
      <c r="C361" s="433">
        <f t="shared" si="66"/>
        <v>0.054050401999864876</v>
      </c>
      <c r="D361" s="296"/>
      <c r="E361" s="337">
        <v>12000</v>
      </c>
      <c r="F361" s="297"/>
      <c r="G361" s="374">
        <f t="shared" si="29"/>
        <v>0</v>
      </c>
      <c r="H361" s="337">
        <f t="shared" si="67"/>
        <v>0</v>
      </c>
      <c r="I361" s="337">
        <v>0</v>
      </c>
      <c r="J361" s="374">
        <f t="shared" si="38"/>
        <v>0</v>
      </c>
      <c r="K361" s="375">
        <v>0</v>
      </c>
      <c r="M361" s="174">
        <f t="shared" si="1"/>
        <v>0</v>
      </c>
      <c r="O361" s="144"/>
      <c r="FH361" s="304"/>
      <c r="FI361" s="304"/>
      <c r="FJ361" s="304"/>
      <c r="FK361" s="304"/>
      <c r="FL361" s="304"/>
      <c r="FM361" s="304"/>
      <c r="FN361" s="304"/>
      <c r="FO361" s="304"/>
      <c r="FP361" s="304"/>
      <c r="FQ361" s="304"/>
      <c r="FR361" s="304"/>
      <c r="FS361" s="304"/>
      <c r="FT361" s="304"/>
      <c r="FU361" s="304"/>
      <c r="FV361" s="304"/>
      <c r="FW361" s="304"/>
      <c r="FX361" s="304"/>
      <c r="FY361" s="304"/>
      <c r="FZ361" s="304"/>
      <c r="GA361" s="304"/>
      <c r="GB361" s="304"/>
      <c r="GC361" s="304"/>
      <c r="GD361" s="304"/>
      <c r="GE361" s="304"/>
      <c r="GF361" s="304"/>
      <c r="GG361" s="304"/>
      <c r="GH361" s="304"/>
      <c r="GI361" s="304"/>
      <c r="GJ361" s="304"/>
      <c r="GK361" s="304"/>
      <c r="GL361" s="304"/>
      <c r="GM361" s="304"/>
      <c r="GN361" s="304"/>
      <c r="GO361" s="304"/>
      <c r="GP361" s="304"/>
      <c r="GQ361" s="304"/>
      <c r="GR361" s="304"/>
      <c r="GS361" s="304"/>
      <c r="GT361" s="304"/>
      <c r="GU361" s="304"/>
      <c r="GV361" s="304"/>
      <c r="GW361" s="304"/>
      <c r="GX361" s="304"/>
      <c r="GY361" s="304"/>
      <c r="GZ361" s="304"/>
      <c r="HA361" s="304"/>
      <c r="HB361" s="304"/>
      <c r="HC361" s="304"/>
      <c r="HD361" s="304"/>
      <c r="HE361" s="304"/>
      <c r="HF361" s="304"/>
      <c r="HG361" s="304"/>
      <c r="HH361" s="304"/>
      <c r="HI361" s="304"/>
      <c r="HJ361" s="304"/>
      <c r="HK361" s="304"/>
      <c r="HL361" s="304"/>
      <c r="HM361" s="304"/>
      <c r="HN361" s="304"/>
      <c r="HO361" s="304"/>
      <c r="HP361" s="304"/>
      <c r="HQ361" s="304"/>
      <c r="HR361" s="304"/>
      <c r="HS361" s="304"/>
      <c r="HT361" s="304"/>
      <c r="HU361" s="304"/>
      <c r="HV361" s="304"/>
      <c r="HW361" s="304"/>
      <c r="HX361" s="304"/>
      <c r="HY361" s="304"/>
      <c r="HZ361" s="304"/>
      <c r="IA361" s="304"/>
      <c r="IB361" s="304"/>
      <c r="IC361" s="304"/>
      <c r="ID361" s="304"/>
      <c r="IE361" s="304"/>
      <c r="IF361" s="304"/>
      <c r="IG361" s="304"/>
      <c r="IH361" s="304"/>
      <c r="II361" s="304"/>
      <c r="IJ361" s="304"/>
      <c r="IK361" s="304"/>
      <c r="IL361" s="304"/>
      <c r="IM361" s="304"/>
      <c r="IN361" s="304"/>
      <c r="IO361" s="304"/>
      <c r="IP361" s="304"/>
      <c r="IQ361" s="304"/>
      <c r="IR361" s="304"/>
      <c r="IS361" s="304"/>
      <c r="IT361" s="304"/>
      <c r="IU361" s="304"/>
      <c r="IV361" s="304"/>
    </row>
    <row r="362" spans="1:256" ht="23.25">
      <c r="A362" s="251" t="s">
        <v>576</v>
      </c>
      <c r="B362" s="252" t="s">
        <v>577</v>
      </c>
      <c r="C362" s="253">
        <f>+E362/E356</f>
        <v>0.2676631354179981</v>
      </c>
      <c r="D362" s="254">
        <v>59851.35</v>
      </c>
      <c r="E362" s="257">
        <f>+E363+E366+E367+E368</f>
        <v>178000</v>
      </c>
      <c r="F362" s="255"/>
      <c r="G362" s="256">
        <f t="shared" si="29"/>
        <v>1</v>
      </c>
      <c r="H362" s="257">
        <f t="shared" si="67"/>
        <v>178000</v>
      </c>
      <c r="I362" s="257">
        <f>+I363+I366+I367+I368</f>
        <v>167000</v>
      </c>
      <c r="J362" s="256">
        <f t="shared" si="38"/>
        <v>0.06179775280898876</v>
      </c>
      <c r="K362" s="258">
        <f>SUM(K363,K366,K367,K368)</f>
        <v>11000</v>
      </c>
      <c r="M362" s="174">
        <f t="shared" si="1"/>
        <v>11000</v>
      </c>
      <c r="O362" s="144"/>
      <c r="FH362" s="304"/>
      <c r="FI362" s="304"/>
      <c r="FJ362" s="304"/>
      <c r="FK362" s="304"/>
      <c r="FL362" s="304"/>
      <c r="FM362" s="304"/>
      <c r="FN362" s="304"/>
      <c r="FO362" s="304"/>
      <c r="FP362" s="304"/>
      <c r="FQ362" s="304"/>
      <c r="FR362" s="304"/>
      <c r="FS362" s="304"/>
      <c r="FT362" s="304"/>
      <c r="FU362" s="304"/>
      <c r="FV362" s="304"/>
      <c r="FW362" s="304"/>
      <c r="FX362" s="304"/>
      <c r="FY362" s="304"/>
      <c r="FZ362" s="304"/>
      <c r="GA362" s="304"/>
      <c r="GB362" s="304"/>
      <c r="GC362" s="304"/>
      <c r="GD362" s="304"/>
      <c r="GE362" s="304"/>
      <c r="GF362" s="304"/>
      <c r="GG362" s="304"/>
      <c r="GH362" s="304"/>
      <c r="GI362" s="304"/>
      <c r="GJ362" s="304"/>
      <c r="GK362" s="304"/>
      <c r="GL362" s="304"/>
      <c r="GM362" s="304"/>
      <c r="GN362" s="304"/>
      <c r="GO362" s="304"/>
      <c r="GP362" s="304"/>
      <c r="GQ362" s="304"/>
      <c r="GR362" s="304"/>
      <c r="GS362" s="304"/>
      <c r="GT362" s="304"/>
      <c r="GU362" s="304"/>
      <c r="GV362" s="304"/>
      <c r="GW362" s="304"/>
      <c r="GX362" s="304"/>
      <c r="GY362" s="304"/>
      <c r="GZ362" s="304"/>
      <c r="HA362" s="304"/>
      <c r="HB362" s="304"/>
      <c r="HC362" s="304"/>
      <c r="HD362" s="304"/>
      <c r="HE362" s="304"/>
      <c r="HF362" s="304"/>
      <c r="HG362" s="304"/>
      <c r="HH362" s="304"/>
      <c r="HI362" s="304"/>
      <c r="HJ362" s="304"/>
      <c r="HK362" s="304"/>
      <c r="HL362" s="304"/>
      <c r="HM362" s="304"/>
      <c r="HN362" s="304"/>
      <c r="HO362" s="304"/>
      <c r="HP362" s="304"/>
      <c r="HQ362" s="304"/>
      <c r="HR362" s="304"/>
      <c r="HS362" s="304"/>
      <c r="HT362" s="304"/>
      <c r="HU362" s="304"/>
      <c r="HV362" s="304"/>
      <c r="HW362" s="304"/>
      <c r="HX362" s="304"/>
      <c r="HY362" s="304"/>
      <c r="HZ362" s="304"/>
      <c r="IA362" s="304"/>
      <c r="IB362" s="304"/>
      <c r="IC362" s="304"/>
      <c r="ID362" s="304"/>
      <c r="IE362" s="304"/>
      <c r="IF362" s="304"/>
      <c r="IG362" s="304"/>
      <c r="IH362" s="304"/>
      <c r="II362" s="304"/>
      <c r="IJ362" s="304"/>
      <c r="IK362" s="304"/>
      <c r="IL362" s="304"/>
      <c r="IM362" s="304"/>
      <c r="IN362" s="304"/>
      <c r="IO362" s="304"/>
      <c r="IP362" s="304"/>
      <c r="IQ362" s="304"/>
      <c r="IR362" s="304"/>
      <c r="IS362" s="304"/>
      <c r="IT362" s="304"/>
      <c r="IU362" s="304"/>
      <c r="IV362" s="304"/>
    </row>
    <row r="363" spans="1:256" ht="23.25">
      <c r="A363" s="309" t="s">
        <v>578</v>
      </c>
      <c r="B363" s="294" t="s">
        <v>579</v>
      </c>
      <c r="C363" s="295">
        <f aca="true" t="shared" si="68" ref="C363:C364">+E363/E362</f>
        <v>0.5617977528089888</v>
      </c>
      <c r="D363" s="310"/>
      <c r="E363" s="299">
        <f>+E364+E365</f>
        <v>100000</v>
      </c>
      <c r="F363" s="311"/>
      <c r="G363" s="298">
        <f t="shared" si="29"/>
        <v>1</v>
      </c>
      <c r="H363" s="299">
        <f t="shared" si="67"/>
        <v>100000</v>
      </c>
      <c r="I363" s="299">
        <v>100000</v>
      </c>
      <c r="J363" s="298">
        <f t="shared" si="38"/>
        <v>0</v>
      </c>
      <c r="K363" s="300">
        <v>0</v>
      </c>
      <c r="M363" s="174">
        <f t="shared" si="1"/>
        <v>0</v>
      </c>
      <c r="O363" s="144"/>
      <c r="FH363" s="304"/>
      <c r="FI363" s="304"/>
      <c r="FJ363" s="304"/>
      <c r="FK363" s="304"/>
      <c r="FL363" s="304"/>
      <c r="FM363" s="304"/>
      <c r="FN363" s="304"/>
      <c r="FO363" s="304"/>
      <c r="FP363" s="304"/>
      <c r="FQ363" s="304"/>
      <c r="FR363" s="304"/>
      <c r="FS363" s="304"/>
      <c r="FT363" s="304"/>
      <c r="FU363" s="304"/>
      <c r="FV363" s="304"/>
      <c r="FW363" s="304"/>
      <c r="FX363" s="304"/>
      <c r="FY363" s="304"/>
      <c r="FZ363" s="304"/>
      <c r="GA363" s="304"/>
      <c r="GB363" s="304"/>
      <c r="GC363" s="304"/>
      <c r="GD363" s="304"/>
      <c r="GE363" s="304"/>
      <c r="GF363" s="304"/>
      <c r="GG363" s="304"/>
      <c r="GH363" s="304"/>
      <c r="GI363" s="304"/>
      <c r="GJ363" s="304"/>
      <c r="GK363" s="304"/>
      <c r="GL363" s="304"/>
      <c r="GM363" s="304"/>
      <c r="GN363" s="304"/>
      <c r="GO363" s="304"/>
      <c r="GP363" s="304"/>
      <c r="GQ363" s="304"/>
      <c r="GR363" s="304"/>
      <c r="GS363" s="304"/>
      <c r="GT363" s="304"/>
      <c r="GU363" s="304"/>
      <c r="GV363" s="304"/>
      <c r="GW363" s="304"/>
      <c r="GX363" s="304"/>
      <c r="GY363" s="304"/>
      <c r="GZ363" s="304"/>
      <c r="HA363" s="304"/>
      <c r="HB363" s="304"/>
      <c r="HC363" s="304"/>
      <c r="HD363" s="304"/>
      <c r="HE363" s="304"/>
      <c r="HF363" s="304"/>
      <c r="HG363" s="304"/>
      <c r="HH363" s="304"/>
      <c r="HI363" s="304"/>
      <c r="HJ363" s="304"/>
      <c r="HK363" s="304"/>
      <c r="HL363" s="304"/>
      <c r="HM363" s="304"/>
      <c r="HN363" s="304"/>
      <c r="HO363" s="304"/>
      <c r="HP363" s="304"/>
      <c r="HQ363" s="304"/>
      <c r="HR363" s="304"/>
      <c r="HS363" s="304"/>
      <c r="HT363" s="304"/>
      <c r="HU363" s="304"/>
      <c r="HV363" s="304"/>
      <c r="HW363" s="304"/>
      <c r="HX363" s="304"/>
      <c r="HY363" s="304"/>
      <c r="HZ363" s="304"/>
      <c r="IA363" s="304"/>
      <c r="IB363" s="304"/>
      <c r="IC363" s="304"/>
      <c r="ID363" s="304"/>
      <c r="IE363" s="304"/>
      <c r="IF363" s="304"/>
      <c r="IG363" s="304"/>
      <c r="IH363" s="304"/>
      <c r="II363" s="304"/>
      <c r="IJ363" s="304"/>
      <c r="IK363" s="304"/>
      <c r="IL363" s="304"/>
      <c r="IM363" s="304"/>
      <c r="IN363" s="304"/>
      <c r="IO363" s="304"/>
      <c r="IP363" s="304"/>
      <c r="IQ363" s="304"/>
      <c r="IR363" s="304"/>
      <c r="IS363" s="304"/>
      <c r="IT363" s="304"/>
      <c r="IU363" s="304"/>
      <c r="IV363" s="304"/>
    </row>
    <row r="364" spans="1:256" ht="23.25">
      <c r="A364" s="339" t="s">
        <v>580</v>
      </c>
      <c r="B364" s="354" t="s">
        <v>581</v>
      </c>
      <c r="C364" s="422">
        <f t="shared" si="68"/>
        <v>0.5</v>
      </c>
      <c r="D364" s="356"/>
      <c r="E364" s="343">
        <v>50000</v>
      </c>
      <c r="F364" s="344"/>
      <c r="G364" s="376">
        <f t="shared" si="29"/>
        <v>1</v>
      </c>
      <c r="H364" s="343">
        <f t="shared" si="67"/>
        <v>50000</v>
      </c>
      <c r="I364" s="343">
        <v>50000</v>
      </c>
      <c r="J364" s="376">
        <f t="shared" si="38"/>
        <v>0</v>
      </c>
      <c r="K364" s="348">
        <v>0</v>
      </c>
      <c r="M364" s="174">
        <f t="shared" si="1"/>
        <v>0</v>
      </c>
      <c r="O364" s="144"/>
      <c r="FH364" s="359"/>
      <c r="FI364" s="359"/>
      <c r="FJ364" s="359"/>
      <c r="FK364" s="359"/>
      <c r="FL364" s="359"/>
      <c r="FM364" s="359"/>
      <c r="FN364" s="359"/>
      <c r="FO364" s="359"/>
      <c r="FP364" s="359"/>
      <c r="FQ364" s="359"/>
      <c r="FR364" s="359"/>
      <c r="FS364" s="359"/>
      <c r="FT364" s="359"/>
      <c r="FU364" s="359"/>
      <c r="FV364" s="359"/>
      <c r="FW364" s="359"/>
      <c r="FX364" s="359"/>
      <c r="FY364" s="359"/>
      <c r="FZ364" s="359"/>
      <c r="GA364" s="359"/>
      <c r="GB364" s="359"/>
      <c r="GC364" s="359"/>
      <c r="GD364" s="359"/>
      <c r="GE364" s="359"/>
      <c r="GF364" s="359"/>
      <c r="GG364" s="359"/>
      <c r="GH364" s="359"/>
      <c r="GI364" s="359"/>
      <c r="GJ364" s="359"/>
      <c r="GK364" s="359"/>
      <c r="GL364" s="359"/>
      <c r="GM364" s="359"/>
      <c r="GN364" s="359"/>
      <c r="GO364" s="359"/>
      <c r="GP364" s="359"/>
      <c r="GQ364" s="359"/>
      <c r="GR364" s="359"/>
      <c r="GS364" s="359"/>
      <c r="GT364" s="359"/>
      <c r="GU364" s="359"/>
      <c r="GV364" s="359"/>
      <c r="GW364" s="359"/>
      <c r="GX364" s="359"/>
      <c r="GY364" s="359"/>
      <c r="GZ364" s="359"/>
      <c r="HA364" s="359"/>
      <c r="HB364" s="359"/>
      <c r="HC364" s="359"/>
      <c r="HD364" s="359"/>
      <c r="HE364" s="359"/>
      <c r="HF364" s="359"/>
      <c r="HG364" s="359"/>
      <c r="HH364" s="359"/>
      <c r="HI364" s="359"/>
      <c r="HJ364" s="359"/>
      <c r="HK364" s="359"/>
      <c r="HL364" s="359"/>
      <c r="HM364" s="359"/>
      <c r="HN364" s="359"/>
      <c r="HO364" s="359"/>
      <c r="HP364" s="359"/>
      <c r="HQ364" s="359"/>
      <c r="HR364" s="359"/>
      <c r="HS364" s="359"/>
      <c r="HT364" s="359"/>
      <c r="HU364" s="359"/>
      <c r="HV364" s="359"/>
      <c r="HW364" s="359"/>
      <c r="HX364" s="359"/>
      <c r="HY364" s="359"/>
      <c r="HZ364" s="359"/>
      <c r="IA364" s="359"/>
      <c r="IB364" s="359"/>
      <c r="IC364" s="359"/>
      <c r="ID364" s="359"/>
      <c r="IE364" s="359"/>
      <c r="IF364" s="359"/>
      <c r="IG364" s="359"/>
      <c r="IH364" s="359"/>
      <c r="II364" s="359"/>
      <c r="IJ364" s="359"/>
      <c r="IK364" s="359"/>
      <c r="IL364" s="359"/>
      <c r="IM364" s="359"/>
      <c r="IN364" s="359"/>
      <c r="IO364" s="359"/>
      <c r="IP364" s="359"/>
      <c r="IQ364" s="359"/>
      <c r="IR364" s="359"/>
      <c r="IS364" s="359"/>
      <c r="IT364" s="359"/>
      <c r="IU364" s="359"/>
      <c r="IV364" s="359"/>
    </row>
    <row r="365" spans="1:256" ht="23.25">
      <c r="A365" s="339" t="s">
        <v>582</v>
      </c>
      <c r="B365" s="354" t="s">
        <v>525</v>
      </c>
      <c r="C365" s="422">
        <f>+E365/E363</f>
        <v>0.5</v>
      </c>
      <c r="D365" s="356"/>
      <c r="E365" s="343">
        <v>50000</v>
      </c>
      <c r="F365" s="344"/>
      <c r="G365" s="376">
        <f t="shared" si="29"/>
        <v>1</v>
      </c>
      <c r="H365" s="343">
        <f t="shared" si="67"/>
        <v>50000</v>
      </c>
      <c r="I365" s="343">
        <v>50000</v>
      </c>
      <c r="J365" s="376">
        <f t="shared" si="38"/>
        <v>0</v>
      </c>
      <c r="K365" s="348">
        <v>0</v>
      </c>
      <c r="M365" s="174">
        <f t="shared" si="1"/>
        <v>0</v>
      </c>
      <c r="O365" s="144"/>
      <c r="FH365" s="359"/>
      <c r="FI365" s="359"/>
      <c r="FJ365" s="359"/>
      <c r="FK365" s="359"/>
      <c r="FL365" s="359"/>
      <c r="FM365" s="359"/>
      <c r="FN365" s="359"/>
      <c r="FO365" s="359"/>
      <c r="FP365" s="359"/>
      <c r="FQ365" s="359"/>
      <c r="FR365" s="359"/>
      <c r="FS365" s="359"/>
      <c r="FT365" s="359"/>
      <c r="FU365" s="359"/>
      <c r="FV365" s="359"/>
      <c r="FW365" s="359"/>
      <c r="FX365" s="359"/>
      <c r="FY365" s="359"/>
      <c r="FZ365" s="359"/>
      <c r="GA365" s="359"/>
      <c r="GB365" s="359"/>
      <c r="GC365" s="359"/>
      <c r="GD365" s="359"/>
      <c r="GE365" s="359"/>
      <c r="GF365" s="359"/>
      <c r="GG365" s="359"/>
      <c r="GH365" s="359"/>
      <c r="GI365" s="359"/>
      <c r="GJ365" s="359"/>
      <c r="GK365" s="359"/>
      <c r="GL365" s="359"/>
      <c r="GM365" s="359"/>
      <c r="GN365" s="359"/>
      <c r="GO365" s="359"/>
      <c r="GP365" s="359"/>
      <c r="GQ365" s="359"/>
      <c r="GR365" s="359"/>
      <c r="GS365" s="359"/>
      <c r="GT365" s="359"/>
      <c r="GU365" s="359"/>
      <c r="GV365" s="359"/>
      <c r="GW365" s="359"/>
      <c r="GX365" s="359"/>
      <c r="GY365" s="359"/>
      <c r="GZ365" s="359"/>
      <c r="HA365" s="359"/>
      <c r="HB365" s="359"/>
      <c r="HC365" s="359"/>
      <c r="HD365" s="359"/>
      <c r="HE365" s="359"/>
      <c r="HF365" s="359"/>
      <c r="HG365" s="359"/>
      <c r="HH365" s="359"/>
      <c r="HI365" s="359"/>
      <c r="HJ365" s="359"/>
      <c r="HK365" s="359"/>
      <c r="HL365" s="359"/>
      <c r="HM365" s="359"/>
      <c r="HN365" s="359"/>
      <c r="HO365" s="359"/>
      <c r="HP365" s="359"/>
      <c r="HQ365" s="359"/>
      <c r="HR365" s="359"/>
      <c r="HS365" s="359"/>
      <c r="HT365" s="359"/>
      <c r="HU365" s="359"/>
      <c r="HV365" s="359"/>
      <c r="HW365" s="359"/>
      <c r="HX365" s="359"/>
      <c r="HY365" s="359"/>
      <c r="HZ365" s="359"/>
      <c r="IA365" s="359"/>
      <c r="IB365" s="359"/>
      <c r="IC365" s="359"/>
      <c r="ID365" s="359"/>
      <c r="IE365" s="359"/>
      <c r="IF365" s="359"/>
      <c r="IG365" s="359"/>
      <c r="IH365" s="359"/>
      <c r="II365" s="359"/>
      <c r="IJ365" s="359"/>
      <c r="IK365" s="359"/>
      <c r="IL365" s="359"/>
      <c r="IM365" s="359"/>
      <c r="IN365" s="359"/>
      <c r="IO365" s="359"/>
      <c r="IP365" s="359"/>
      <c r="IQ365" s="359"/>
      <c r="IR365" s="359"/>
      <c r="IS365" s="359"/>
      <c r="IT365" s="359"/>
      <c r="IU365" s="359"/>
      <c r="IV365" s="359"/>
    </row>
    <row r="366" spans="1:256" ht="23.25">
      <c r="A366" s="309" t="s">
        <v>583</v>
      </c>
      <c r="B366" s="294" t="s">
        <v>584</v>
      </c>
      <c r="C366" s="295">
        <f aca="true" t="shared" si="69" ref="C366:C368">+E366/$E$362</f>
        <v>0.0449438202247191</v>
      </c>
      <c r="D366" s="310"/>
      <c r="E366" s="299">
        <v>8000</v>
      </c>
      <c r="F366" s="311"/>
      <c r="G366" s="298">
        <f t="shared" si="29"/>
        <v>1</v>
      </c>
      <c r="H366" s="299">
        <f t="shared" si="67"/>
        <v>8000</v>
      </c>
      <c r="I366" s="299">
        <v>8000</v>
      </c>
      <c r="J366" s="298">
        <f t="shared" si="38"/>
        <v>0</v>
      </c>
      <c r="K366" s="300">
        <v>0</v>
      </c>
      <c r="M366" s="174">
        <f t="shared" si="1"/>
        <v>0</v>
      </c>
      <c r="O366" s="144"/>
      <c r="FH366" s="304"/>
      <c r="FI366" s="304"/>
      <c r="FJ366" s="304"/>
      <c r="FK366" s="304"/>
      <c r="FL366" s="304"/>
      <c r="FM366" s="304"/>
      <c r="FN366" s="304"/>
      <c r="FO366" s="304"/>
      <c r="FP366" s="304"/>
      <c r="FQ366" s="304"/>
      <c r="FR366" s="304"/>
      <c r="FS366" s="304"/>
      <c r="FT366" s="304"/>
      <c r="FU366" s="304"/>
      <c r="FV366" s="304"/>
      <c r="FW366" s="304"/>
      <c r="FX366" s="304"/>
      <c r="FY366" s="304"/>
      <c r="FZ366" s="304"/>
      <c r="GA366" s="304"/>
      <c r="GB366" s="304"/>
      <c r="GC366" s="304"/>
      <c r="GD366" s="304"/>
      <c r="GE366" s="304"/>
      <c r="GF366" s="304"/>
      <c r="GG366" s="304"/>
      <c r="GH366" s="304"/>
      <c r="GI366" s="304"/>
      <c r="GJ366" s="304"/>
      <c r="GK366" s="304"/>
      <c r="GL366" s="304"/>
      <c r="GM366" s="304"/>
      <c r="GN366" s="304"/>
      <c r="GO366" s="304"/>
      <c r="GP366" s="304"/>
      <c r="GQ366" s="304"/>
      <c r="GR366" s="304"/>
      <c r="GS366" s="304"/>
      <c r="GT366" s="304"/>
      <c r="GU366" s="304"/>
      <c r="GV366" s="304"/>
      <c r="GW366" s="304"/>
      <c r="GX366" s="304"/>
      <c r="GY366" s="304"/>
      <c r="GZ366" s="304"/>
      <c r="HA366" s="304"/>
      <c r="HB366" s="304"/>
      <c r="HC366" s="304"/>
      <c r="HD366" s="304"/>
      <c r="HE366" s="304"/>
      <c r="HF366" s="304"/>
      <c r="HG366" s="304"/>
      <c r="HH366" s="304"/>
      <c r="HI366" s="304"/>
      <c r="HJ366" s="304"/>
      <c r="HK366" s="304"/>
      <c r="HL366" s="304"/>
      <c r="HM366" s="304"/>
      <c r="HN366" s="304"/>
      <c r="HO366" s="304"/>
      <c r="HP366" s="304"/>
      <c r="HQ366" s="304"/>
      <c r="HR366" s="304"/>
      <c r="HS366" s="304"/>
      <c r="HT366" s="304"/>
      <c r="HU366" s="304"/>
      <c r="HV366" s="304"/>
      <c r="HW366" s="304"/>
      <c r="HX366" s="304"/>
      <c r="HY366" s="304"/>
      <c r="HZ366" s="304"/>
      <c r="IA366" s="304"/>
      <c r="IB366" s="304"/>
      <c r="IC366" s="304"/>
      <c r="ID366" s="304"/>
      <c r="IE366" s="304"/>
      <c r="IF366" s="304"/>
      <c r="IG366" s="304"/>
      <c r="IH366" s="304"/>
      <c r="II366" s="304"/>
      <c r="IJ366" s="304"/>
      <c r="IK366" s="304"/>
      <c r="IL366" s="304"/>
      <c r="IM366" s="304"/>
      <c r="IN366" s="304"/>
      <c r="IO366" s="304"/>
      <c r="IP366" s="304"/>
      <c r="IQ366" s="304"/>
      <c r="IR366" s="304"/>
      <c r="IS366" s="304"/>
      <c r="IT366" s="304"/>
      <c r="IU366" s="304"/>
      <c r="IV366" s="304"/>
    </row>
    <row r="367" spans="1:256" ht="23.25">
      <c r="A367" s="309" t="s">
        <v>585</v>
      </c>
      <c r="B367" s="294" t="s">
        <v>586</v>
      </c>
      <c r="C367" s="295">
        <f t="shared" si="69"/>
        <v>0.08426966292134831</v>
      </c>
      <c r="D367" s="310"/>
      <c r="E367" s="299">
        <v>15000</v>
      </c>
      <c r="F367" s="311"/>
      <c r="G367" s="298">
        <f t="shared" si="29"/>
        <v>1</v>
      </c>
      <c r="H367" s="299">
        <f t="shared" si="67"/>
        <v>15000</v>
      </c>
      <c r="I367" s="299">
        <v>15000</v>
      </c>
      <c r="J367" s="298">
        <f t="shared" si="38"/>
        <v>0</v>
      </c>
      <c r="K367" s="300">
        <v>0</v>
      </c>
      <c r="M367" s="174">
        <f t="shared" si="1"/>
        <v>0</v>
      </c>
      <c r="O367" s="144"/>
      <c r="FH367" s="304"/>
      <c r="FI367" s="304"/>
      <c r="FJ367" s="304"/>
      <c r="FK367" s="304"/>
      <c r="FL367" s="304"/>
      <c r="FM367" s="304"/>
      <c r="FN367" s="304"/>
      <c r="FO367" s="304"/>
      <c r="FP367" s="304"/>
      <c r="FQ367" s="304"/>
      <c r="FR367" s="304"/>
      <c r="FS367" s="304"/>
      <c r="FT367" s="304"/>
      <c r="FU367" s="304"/>
      <c r="FV367" s="304"/>
      <c r="FW367" s="304"/>
      <c r="FX367" s="304"/>
      <c r="FY367" s="304"/>
      <c r="FZ367" s="304"/>
      <c r="GA367" s="304"/>
      <c r="GB367" s="304"/>
      <c r="GC367" s="304"/>
      <c r="GD367" s="304"/>
      <c r="GE367" s="304"/>
      <c r="GF367" s="304"/>
      <c r="GG367" s="304"/>
      <c r="GH367" s="304"/>
      <c r="GI367" s="304"/>
      <c r="GJ367" s="304"/>
      <c r="GK367" s="304"/>
      <c r="GL367" s="304"/>
      <c r="GM367" s="304"/>
      <c r="GN367" s="304"/>
      <c r="GO367" s="304"/>
      <c r="GP367" s="304"/>
      <c r="GQ367" s="304"/>
      <c r="GR367" s="304"/>
      <c r="GS367" s="304"/>
      <c r="GT367" s="304"/>
      <c r="GU367" s="304"/>
      <c r="GV367" s="304"/>
      <c r="GW367" s="304"/>
      <c r="GX367" s="304"/>
      <c r="GY367" s="304"/>
      <c r="GZ367" s="304"/>
      <c r="HA367" s="304"/>
      <c r="HB367" s="304"/>
      <c r="HC367" s="304"/>
      <c r="HD367" s="304"/>
      <c r="HE367" s="304"/>
      <c r="HF367" s="304"/>
      <c r="HG367" s="304"/>
      <c r="HH367" s="304"/>
      <c r="HI367" s="304"/>
      <c r="HJ367" s="304"/>
      <c r="HK367" s="304"/>
      <c r="HL367" s="304"/>
      <c r="HM367" s="304"/>
      <c r="HN367" s="304"/>
      <c r="HO367" s="304"/>
      <c r="HP367" s="304"/>
      <c r="HQ367" s="304"/>
      <c r="HR367" s="304"/>
      <c r="HS367" s="304"/>
      <c r="HT367" s="304"/>
      <c r="HU367" s="304"/>
      <c r="HV367" s="304"/>
      <c r="HW367" s="304"/>
      <c r="HX367" s="304"/>
      <c r="HY367" s="304"/>
      <c r="HZ367" s="304"/>
      <c r="IA367" s="304"/>
      <c r="IB367" s="304"/>
      <c r="IC367" s="304"/>
      <c r="ID367" s="304"/>
      <c r="IE367" s="304"/>
      <c r="IF367" s="304"/>
      <c r="IG367" s="304"/>
      <c r="IH367" s="304"/>
      <c r="II367" s="304"/>
      <c r="IJ367" s="304"/>
      <c r="IK367" s="304"/>
      <c r="IL367" s="304"/>
      <c r="IM367" s="304"/>
      <c r="IN367" s="304"/>
      <c r="IO367" s="304"/>
      <c r="IP367" s="304"/>
      <c r="IQ367" s="304"/>
      <c r="IR367" s="304"/>
      <c r="IS367" s="304"/>
      <c r="IT367" s="304"/>
      <c r="IU367" s="304"/>
      <c r="IV367" s="304"/>
    </row>
    <row r="368" spans="1:256" ht="23.25">
      <c r="A368" s="309" t="s">
        <v>587</v>
      </c>
      <c r="B368" s="294" t="s">
        <v>588</v>
      </c>
      <c r="C368" s="295">
        <f t="shared" si="69"/>
        <v>0.3089887640449438</v>
      </c>
      <c r="D368" s="310"/>
      <c r="E368" s="299">
        <v>55000</v>
      </c>
      <c r="F368" s="311"/>
      <c r="G368" s="298">
        <f t="shared" si="29"/>
        <v>1</v>
      </c>
      <c r="H368" s="299">
        <f t="shared" si="67"/>
        <v>55000</v>
      </c>
      <c r="I368" s="299">
        <v>44000</v>
      </c>
      <c r="J368" s="298">
        <f t="shared" si="38"/>
        <v>0.2</v>
      </c>
      <c r="K368" s="300">
        <v>11000</v>
      </c>
      <c r="M368" s="174">
        <f t="shared" si="1"/>
        <v>11000</v>
      </c>
      <c r="O368" s="144"/>
      <c r="FH368" s="304"/>
      <c r="FI368" s="304"/>
      <c r="FJ368" s="304"/>
      <c r="FK368" s="304"/>
      <c r="FL368" s="304"/>
      <c r="FM368" s="304"/>
      <c r="FN368" s="304"/>
      <c r="FO368" s="304"/>
      <c r="FP368" s="304"/>
      <c r="FQ368" s="304"/>
      <c r="FR368" s="304"/>
      <c r="FS368" s="304"/>
      <c r="FT368" s="304"/>
      <c r="FU368" s="304"/>
      <c r="FV368" s="304"/>
      <c r="FW368" s="304"/>
      <c r="FX368" s="304"/>
      <c r="FY368" s="304"/>
      <c r="FZ368" s="304"/>
      <c r="GA368" s="304"/>
      <c r="GB368" s="304"/>
      <c r="GC368" s="304"/>
      <c r="GD368" s="304"/>
      <c r="GE368" s="304"/>
      <c r="GF368" s="304"/>
      <c r="GG368" s="304"/>
      <c r="GH368" s="304"/>
      <c r="GI368" s="304"/>
      <c r="GJ368" s="304"/>
      <c r="GK368" s="304"/>
      <c r="GL368" s="304"/>
      <c r="GM368" s="304"/>
      <c r="GN368" s="304"/>
      <c r="GO368" s="304"/>
      <c r="GP368" s="304"/>
      <c r="GQ368" s="304"/>
      <c r="GR368" s="304"/>
      <c r="GS368" s="304"/>
      <c r="GT368" s="304"/>
      <c r="GU368" s="304"/>
      <c r="GV368" s="304"/>
      <c r="GW368" s="304"/>
      <c r="GX368" s="304"/>
      <c r="GY368" s="304"/>
      <c r="GZ368" s="304"/>
      <c r="HA368" s="304"/>
      <c r="HB368" s="304"/>
      <c r="HC368" s="304"/>
      <c r="HD368" s="304"/>
      <c r="HE368" s="304"/>
      <c r="HF368" s="304"/>
      <c r="HG368" s="304"/>
      <c r="HH368" s="304"/>
      <c r="HI368" s="304"/>
      <c r="HJ368" s="304"/>
      <c r="HK368" s="304"/>
      <c r="HL368" s="304"/>
      <c r="HM368" s="304"/>
      <c r="HN368" s="304"/>
      <c r="HO368" s="304"/>
      <c r="HP368" s="304"/>
      <c r="HQ368" s="304"/>
      <c r="HR368" s="304"/>
      <c r="HS368" s="304"/>
      <c r="HT368" s="304"/>
      <c r="HU368" s="304"/>
      <c r="HV368" s="304"/>
      <c r="HW368" s="304"/>
      <c r="HX368" s="304"/>
      <c r="HY368" s="304"/>
      <c r="HZ368" s="304"/>
      <c r="IA368" s="304"/>
      <c r="IB368" s="304"/>
      <c r="IC368" s="304"/>
      <c r="ID368" s="304"/>
      <c r="IE368" s="304"/>
      <c r="IF368" s="304"/>
      <c r="IG368" s="304"/>
      <c r="IH368" s="304"/>
      <c r="II368" s="304"/>
      <c r="IJ368" s="304"/>
      <c r="IK368" s="304"/>
      <c r="IL368" s="304"/>
      <c r="IM368" s="304"/>
      <c r="IN368" s="304"/>
      <c r="IO368" s="304"/>
      <c r="IP368" s="304"/>
      <c r="IQ368" s="304"/>
      <c r="IR368" s="304"/>
      <c r="IS368" s="304"/>
      <c r="IT368" s="304"/>
      <c r="IU368" s="304"/>
      <c r="IV368" s="304"/>
    </row>
    <row r="369" spans="1:256" ht="23.25">
      <c r="A369" s="251" t="s">
        <v>589</v>
      </c>
      <c r="B369" s="252" t="s">
        <v>590</v>
      </c>
      <c r="C369" s="253">
        <f>+E369/E356</f>
        <v>0.15789117538702135</v>
      </c>
      <c r="D369" s="254">
        <v>39900.9</v>
      </c>
      <c r="E369" s="257">
        <f>+E370+E371</f>
        <v>105000</v>
      </c>
      <c r="F369" s="255"/>
      <c r="G369" s="256">
        <f t="shared" si="29"/>
        <v>0.9523809523809523</v>
      </c>
      <c r="H369" s="257">
        <f t="shared" si="67"/>
        <v>100000</v>
      </c>
      <c r="I369" s="257">
        <f>+I370+I371</f>
        <v>100000</v>
      </c>
      <c r="J369" s="256">
        <f t="shared" si="38"/>
        <v>0</v>
      </c>
      <c r="K369" s="258">
        <f>SUM(K370:K371)</f>
        <v>0</v>
      </c>
      <c r="M369" s="174">
        <f t="shared" si="1"/>
        <v>0</v>
      </c>
      <c r="O369" s="144"/>
      <c r="FH369" s="304"/>
      <c r="FI369" s="304"/>
      <c r="FJ369" s="304"/>
      <c r="FK369" s="304"/>
      <c r="FL369" s="304"/>
      <c r="FM369" s="304"/>
      <c r="FN369" s="304"/>
      <c r="FO369" s="304"/>
      <c r="FP369" s="304"/>
      <c r="FQ369" s="304"/>
      <c r="FR369" s="304"/>
      <c r="FS369" s="304"/>
      <c r="FT369" s="304"/>
      <c r="FU369" s="304"/>
      <c r="FV369" s="304"/>
      <c r="FW369" s="304"/>
      <c r="FX369" s="304"/>
      <c r="FY369" s="304"/>
      <c r="FZ369" s="304"/>
      <c r="GA369" s="304"/>
      <c r="GB369" s="304"/>
      <c r="GC369" s="304"/>
      <c r="GD369" s="304"/>
      <c r="GE369" s="304"/>
      <c r="GF369" s="304"/>
      <c r="GG369" s="304"/>
      <c r="GH369" s="304"/>
      <c r="GI369" s="304"/>
      <c r="GJ369" s="304"/>
      <c r="GK369" s="304"/>
      <c r="GL369" s="304"/>
      <c r="GM369" s="304"/>
      <c r="GN369" s="304"/>
      <c r="GO369" s="304"/>
      <c r="GP369" s="304"/>
      <c r="GQ369" s="304"/>
      <c r="GR369" s="304"/>
      <c r="GS369" s="304"/>
      <c r="GT369" s="304"/>
      <c r="GU369" s="304"/>
      <c r="GV369" s="304"/>
      <c r="GW369" s="304"/>
      <c r="GX369" s="304"/>
      <c r="GY369" s="304"/>
      <c r="GZ369" s="304"/>
      <c r="HA369" s="304"/>
      <c r="HB369" s="304"/>
      <c r="HC369" s="304"/>
      <c r="HD369" s="304"/>
      <c r="HE369" s="304"/>
      <c r="HF369" s="304"/>
      <c r="HG369" s="304"/>
      <c r="HH369" s="304"/>
      <c r="HI369" s="304"/>
      <c r="HJ369" s="304"/>
      <c r="HK369" s="304"/>
      <c r="HL369" s="304"/>
      <c r="HM369" s="304"/>
      <c r="HN369" s="304"/>
      <c r="HO369" s="304"/>
      <c r="HP369" s="304"/>
      <c r="HQ369" s="304"/>
      <c r="HR369" s="304"/>
      <c r="HS369" s="304"/>
      <c r="HT369" s="304"/>
      <c r="HU369" s="304"/>
      <c r="HV369" s="304"/>
      <c r="HW369" s="304"/>
      <c r="HX369" s="304"/>
      <c r="HY369" s="304"/>
      <c r="HZ369" s="304"/>
      <c r="IA369" s="304"/>
      <c r="IB369" s="304"/>
      <c r="IC369" s="304"/>
      <c r="ID369" s="304"/>
      <c r="IE369" s="304"/>
      <c r="IF369" s="304"/>
      <c r="IG369" s="304"/>
      <c r="IH369" s="304"/>
      <c r="II369" s="304"/>
      <c r="IJ369" s="304"/>
      <c r="IK369" s="304"/>
      <c r="IL369" s="304"/>
      <c r="IM369" s="304"/>
      <c r="IN369" s="304"/>
      <c r="IO369" s="304"/>
      <c r="IP369" s="304"/>
      <c r="IQ369" s="304"/>
      <c r="IR369" s="304"/>
      <c r="IS369" s="304"/>
      <c r="IT369" s="304"/>
      <c r="IU369" s="304"/>
      <c r="IV369" s="304"/>
    </row>
    <row r="370" spans="1:256" ht="23.25">
      <c r="A370" s="309" t="s">
        <v>591</v>
      </c>
      <c r="B370" s="294" t="s">
        <v>592</v>
      </c>
      <c r="C370" s="295">
        <f>+E370/E369</f>
        <v>0.9523809523809523</v>
      </c>
      <c r="D370" s="310"/>
      <c r="E370" s="299">
        <v>100000</v>
      </c>
      <c r="F370" s="311"/>
      <c r="G370" s="298">
        <f t="shared" si="29"/>
        <v>1</v>
      </c>
      <c r="H370" s="299">
        <f t="shared" si="67"/>
        <v>100000</v>
      </c>
      <c r="I370" s="299">
        <v>100000</v>
      </c>
      <c r="J370" s="298">
        <f t="shared" si="38"/>
        <v>0</v>
      </c>
      <c r="K370" s="300">
        <v>0</v>
      </c>
      <c r="M370" s="174">
        <f t="shared" si="1"/>
        <v>0</v>
      </c>
      <c r="O370" s="144"/>
      <c r="FH370" s="304"/>
      <c r="FI370" s="304"/>
      <c r="FJ370" s="304"/>
      <c r="FK370" s="304"/>
      <c r="FL370" s="304"/>
      <c r="FM370" s="304"/>
      <c r="FN370" s="304"/>
      <c r="FO370" s="304"/>
      <c r="FP370" s="304"/>
      <c r="FQ370" s="304"/>
      <c r="FR370" s="304"/>
      <c r="FS370" s="304"/>
      <c r="FT370" s="304"/>
      <c r="FU370" s="304"/>
      <c r="FV370" s="304"/>
      <c r="FW370" s="304"/>
      <c r="FX370" s="304"/>
      <c r="FY370" s="304"/>
      <c r="FZ370" s="304"/>
      <c r="GA370" s="304"/>
      <c r="GB370" s="304"/>
      <c r="GC370" s="304"/>
      <c r="GD370" s="304"/>
      <c r="GE370" s="304"/>
      <c r="GF370" s="304"/>
      <c r="GG370" s="304"/>
      <c r="GH370" s="304"/>
      <c r="GI370" s="304"/>
      <c r="GJ370" s="304"/>
      <c r="GK370" s="304"/>
      <c r="GL370" s="304"/>
      <c r="GM370" s="304"/>
      <c r="GN370" s="304"/>
      <c r="GO370" s="304"/>
      <c r="GP370" s="304"/>
      <c r="GQ370" s="304"/>
      <c r="GR370" s="304"/>
      <c r="GS370" s="304"/>
      <c r="GT370" s="304"/>
      <c r="GU370" s="304"/>
      <c r="GV370" s="304"/>
      <c r="GW370" s="304"/>
      <c r="GX370" s="304"/>
      <c r="GY370" s="304"/>
      <c r="GZ370" s="304"/>
      <c r="HA370" s="304"/>
      <c r="HB370" s="304"/>
      <c r="HC370" s="304"/>
      <c r="HD370" s="304"/>
      <c r="HE370" s="304"/>
      <c r="HF370" s="304"/>
      <c r="HG370" s="304"/>
      <c r="HH370" s="304"/>
      <c r="HI370" s="304"/>
      <c r="HJ370" s="304"/>
      <c r="HK370" s="304"/>
      <c r="HL370" s="304"/>
      <c r="HM370" s="304"/>
      <c r="HN370" s="304"/>
      <c r="HO370" s="304"/>
      <c r="HP370" s="304"/>
      <c r="HQ370" s="304"/>
      <c r="HR370" s="304"/>
      <c r="HS370" s="304"/>
      <c r="HT370" s="304"/>
      <c r="HU370" s="304"/>
      <c r="HV370" s="304"/>
      <c r="HW370" s="304"/>
      <c r="HX370" s="304"/>
      <c r="HY370" s="304"/>
      <c r="HZ370" s="304"/>
      <c r="IA370" s="304"/>
      <c r="IB370" s="304"/>
      <c r="IC370" s="304"/>
      <c r="ID370" s="304"/>
      <c r="IE370" s="304"/>
      <c r="IF370" s="304"/>
      <c r="IG370" s="304"/>
      <c r="IH370" s="304"/>
      <c r="II370" s="304"/>
      <c r="IJ370" s="304"/>
      <c r="IK370" s="304"/>
      <c r="IL370" s="304"/>
      <c r="IM370" s="304"/>
      <c r="IN370" s="304"/>
      <c r="IO370" s="304"/>
      <c r="IP370" s="304"/>
      <c r="IQ370" s="304"/>
      <c r="IR370" s="304"/>
      <c r="IS370" s="304"/>
      <c r="IT370" s="304"/>
      <c r="IU370" s="304"/>
      <c r="IV370" s="304"/>
    </row>
    <row r="371" spans="1:256" ht="23.25">
      <c r="A371" s="309" t="s">
        <v>593</v>
      </c>
      <c r="B371" s="294" t="s">
        <v>594</v>
      </c>
      <c r="C371" s="295">
        <f>+E371/E369</f>
        <v>0.047619047619047616</v>
      </c>
      <c r="D371" s="310"/>
      <c r="E371" s="299">
        <v>5000</v>
      </c>
      <c r="F371" s="311"/>
      <c r="G371" s="298">
        <f t="shared" si="29"/>
        <v>0</v>
      </c>
      <c r="H371" s="299">
        <f t="shared" si="67"/>
        <v>0</v>
      </c>
      <c r="I371" s="299">
        <v>0</v>
      </c>
      <c r="J371" s="298">
        <f t="shared" si="38"/>
        <v>0</v>
      </c>
      <c r="K371" s="300">
        <v>0</v>
      </c>
      <c r="M371" s="174">
        <f t="shared" si="1"/>
        <v>0</v>
      </c>
      <c r="O371" s="144"/>
      <c r="FH371" s="304"/>
      <c r="FI371" s="304"/>
      <c r="FJ371" s="304"/>
      <c r="FK371" s="304"/>
      <c r="FL371" s="304"/>
      <c r="FM371" s="304"/>
      <c r="FN371" s="304"/>
      <c r="FO371" s="304"/>
      <c r="FP371" s="304"/>
      <c r="FQ371" s="304"/>
      <c r="FR371" s="304"/>
      <c r="FS371" s="304"/>
      <c r="FT371" s="304"/>
      <c r="FU371" s="304"/>
      <c r="FV371" s="304"/>
      <c r="FW371" s="304"/>
      <c r="FX371" s="304"/>
      <c r="FY371" s="304"/>
      <c r="FZ371" s="304"/>
      <c r="GA371" s="304"/>
      <c r="GB371" s="304"/>
      <c r="GC371" s="304"/>
      <c r="GD371" s="304"/>
      <c r="GE371" s="304"/>
      <c r="GF371" s="304"/>
      <c r="GG371" s="304"/>
      <c r="GH371" s="304"/>
      <c r="GI371" s="304"/>
      <c r="GJ371" s="304"/>
      <c r="GK371" s="304"/>
      <c r="GL371" s="304"/>
      <c r="GM371" s="304"/>
      <c r="GN371" s="304"/>
      <c r="GO371" s="304"/>
      <c r="GP371" s="304"/>
      <c r="GQ371" s="304"/>
      <c r="GR371" s="304"/>
      <c r="GS371" s="304"/>
      <c r="GT371" s="304"/>
      <c r="GU371" s="304"/>
      <c r="GV371" s="304"/>
      <c r="GW371" s="304"/>
      <c r="GX371" s="304"/>
      <c r="GY371" s="304"/>
      <c r="GZ371" s="304"/>
      <c r="HA371" s="304"/>
      <c r="HB371" s="304"/>
      <c r="HC371" s="304"/>
      <c r="HD371" s="304"/>
      <c r="HE371" s="304"/>
      <c r="HF371" s="304"/>
      <c r="HG371" s="304"/>
      <c r="HH371" s="304"/>
      <c r="HI371" s="304"/>
      <c r="HJ371" s="304"/>
      <c r="HK371" s="304"/>
      <c r="HL371" s="304"/>
      <c r="HM371" s="304"/>
      <c r="HN371" s="304"/>
      <c r="HO371" s="304"/>
      <c r="HP371" s="304"/>
      <c r="HQ371" s="304"/>
      <c r="HR371" s="304"/>
      <c r="HS371" s="304"/>
      <c r="HT371" s="304"/>
      <c r="HU371" s="304"/>
      <c r="HV371" s="304"/>
      <c r="HW371" s="304"/>
      <c r="HX371" s="304"/>
      <c r="HY371" s="304"/>
      <c r="HZ371" s="304"/>
      <c r="IA371" s="304"/>
      <c r="IB371" s="304"/>
      <c r="IC371" s="304"/>
      <c r="ID371" s="304"/>
      <c r="IE371" s="304"/>
      <c r="IF371" s="304"/>
      <c r="IG371" s="304"/>
      <c r="IH371" s="304"/>
      <c r="II371" s="304"/>
      <c r="IJ371" s="304"/>
      <c r="IK371" s="304"/>
      <c r="IL371" s="304"/>
      <c r="IM371" s="304"/>
      <c r="IN371" s="304"/>
      <c r="IO371" s="304"/>
      <c r="IP371" s="304"/>
      <c r="IQ371" s="304"/>
      <c r="IR371" s="304"/>
      <c r="IS371" s="304"/>
      <c r="IT371" s="304"/>
      <c r="IU371" s="304"/>
      <c r="IV371" s="304"/>
    </row>
    <row r="372" spans="1:256" ht="23.25">
      <c r="A372" s="251" t="s">
        <v>595</v>
      </c>
      <c r="B372" s="252" t="s">
        <v>596</v>
      </c>
      <c r="C372" s="253">
        <f>+E372/E356</f>
        <v>0.240596076780223</v>
      </c>
      <c r="D372" s="254"/>
      <c r="E372" s="257">
        <f>+E373+E374+E375</f>
        <v>160000</v>
      </c>
      <c r="F372" s="255"/>
      <c r="G372" s="256">
        <f t="shared" si="29"/>
        <v>0.95</v>
      </c>
      <c r="H372" s="257">
        <f t="shared" si="67"/>
        <v>152000</v>
      </c>
      <c r="I372" s="257">
        <f>+I373+I374+I375</f>
        <v>152000</v>
      </c>
      <c r="J372" s="256">
        <f t="shared" si="38"/>
        <v>0</v>
      </c>
      <c r="K372" s="258">
        <f>SUM(K373:K375)</f>
        <v>0</v>
      </c>
      <c r="M372" s="174">
        <f t="shared" si="1"/>
        <v>0</v>
      </c>
      <c r="O372" s="144"/>
      <c r="FH372" s="304"/>
      <c r="FI372" s="304"/>
      <c r="FJ372" s="304"/>
      <c r="FK372" s="304"/>
      <c r="FL372" s="304"/>
      <c r="FM372" s="304"/>
      <c r="FN372" s="304"/>
      <c r="FO372" s="304"/>
      <c r="FP372" s="304"/>
      <c r="FQ372" s="304"/>
      <c r="FR372" s="304"/>
      <c r="FS372" s="304"/>
      <c r="FT372" s="304"/>
      <c r="FU372" s="304"/>
      <c r="FV372" s="304"/>
      <c r="FW372" s="304"/>
      <c r="FX372" s="304"/>
      <c r="FY372" s="304"/>
      <c r="FZ372" s="304"/>
      <c r="GA372" s="304"/>
      <c r="GB372" s="304"/>
      <c r="GC372" s="304"/>
      <c r="GD372" s="304"/>
      <c r="GE372" s="304"/>
      <c r="GF372" s="304"/>
      <c r="GG372" s="304"/>
      <c r="GH372" s="304"/>
      <c r="GI372" s="304"/>
      <c r="GJ372" s="304"/>
      <c r="GK372" s="304"/>
      <c r="GL372" s="304"/>
      <c r="GM372" s="304"/>
      <c r="GN372" s="304"/>
      <c r="GO372" s="304"/>
      <c r="GP372" s="304"/>
      <c r="GQ372" s="304"/>
      <c r="GR372" s="304"/>
      <c r="GS372" s="304"/>
      <c r="GT372" s="304"/>
      <c r="GU372" s="304"/>
      <c r="GV372" s="304"/>
      <c r="GW372" s="304"/>
      <c r="GX372" s="304"/>
      <c r="GY372" s="304"/>
      <c r="GZ372" s="304"/>
      <c r="HA372" s="304"/>
      <c r="HB372" s="304"/>
      <c r="HC372" s="304"/>
      <c r="HD372" s="304"/>
      <c r="HE372" s="304"/>
      <c r="HF372" s="304"/>
      <c r="HG372" s="304"/>
      <c r="HH372" s="304"/>
      <c r="HI372" s="304"/>
      <c r="HJ372" s="304"/>
      <c r="HK372" s="304"/>
      <c r="HL372" s="304"/>
      <c r="HM372" s="304"/>
      <c r="HN372" s="304"/>
      <c r="HO372" s="304"/>
      <c r="HP372" s="304"/>
      <c r="HQ372" s="304"/>
      <c r="HR372" s="304"/>
      <c r="HS372" s="304"/>
      <c r="HT372" s="304"/>
      <c r="HU372" s="304"/>
      <c r="HV372" s="304"/>
      <c r="HW372" s="304"/>
      <c r="HX372" s="304"/>
      <c r="HY372" s="304"/>
      <c r="HZ372" s="304"/>
      <c r="IA372" s="304"/>
      <c r="IB372" s="304"/>
      <c r="IC372" s="304"/>
      <c r="ID372" s="304"/>
      <c r="IE372" s="304"/>
      <c r="IF372" s="304"/>
      <c r="IG372" s="304"/>
      <c r="IH372" s="304"/>
      <c r="II372" s="304"/>
      <c r="IJ372" s="304"/>
      <c r="IK372" s="304"/>
      <c r="IL372" s="304"/>
      <c r="IM372" s="304"/>
      <c r="IN372" s="304"/>
      <c r="IO372" s="304"/>
      <c r="IP372" s="304"/>
      <c r="IQ372" s="304"/>
      <c r="IR372" s="304"/>
      <c r="IS372" s="304"/>
      <c r="IT372" s="304"/>
      <c r="IU372" s="304"/>
      <c r="IV372" s="304"/>
    </row>
    <row r="373" spans="1:256" ht="23.25">
      <c r="A373" s="309" t="s">
        <v>597</v>
      </c>
      <c r="B373" s="294" t="s">
        <v>598</v>
      </c>
      <c r="C373" s="295">
        <f>+E373/E372</f>
        <v>0.5</v>
      </c>
      <c r="D373" s="310"/>
      <c r="E373" s="299">
        <v>80000</v>
      </c>
      <c r="F373" s="311"/>
      <c r="G373" s="298">
        <f t="shared" si="29"/>
        <v>1</v>
      </c>
      <c r="H373" s="299">
        <f t="shared" si="67"/>
        <v>80000</v>
      </c>
      <c r="I373" s="299">
        <v>80000</v>
      </c>
      <c r="J373" s="298">
        <f t="shared" si="38"/>
        <v>0</v>
      </c>
      <c r="K373" s="300">
        <v>0</v>
      </c>
      <c r="M373" s="174">
        <f t="shared" si="1"/>
        <v>0</v>
      </c>
      <c r="O373" s="144"/>
      <c r="FH373" s="304"/>
      <c r="FI373" s="304"/>
      <c r="FJ373" s="304"/>
      <c r="FK373" s="304"/>
      <c r="FL373" s="304"/>
      <c r="FM373" s="304"/>
      <c r="FN373" s="304"/>
      <c r="FO373" s="304"/>
      <c r="FP373" s="304"/>
      <c r="FQ373" s="304"/>
      <c r="FR373" s="304"/>
      <c r="FS373" s="304"/>
      <c r="FT373" s="304"/>
      <c r="FU373" s="304"/>
      <c r="FV373" s="304"/>
      <c r="FW373" s="304"/>
      <c r="FX373" s="304"/>
      <c r="FY373" s="304"/>
      <c r="FZ373" s="304"/>
      <c r="GA373" s="304"/>
      <c r="GB373" s="304"/>
      <c r="GC373" s="304"/>
      <c r="GD373" s="304"/>
      <c r="GE373" s="304"/>
      <c r="GF373" s="304"/>
      <c r="GG373" s="304"/>
      <c r="GH373" s="304"/>
      <c r="GI373" s="304"/>
      <c r="GJ373" s="304"/>
      <c r="GK373" s="304"/>
      <c r="GL373" s="304"/>
      <c r="GM373" s="304"/>
      <c r="GN373" s="304"/>
      <c r="GO373" s="304"/>
      <c r="GP373" s="304"/>
      <c r="GQ373" s="304"/>
      <c r="GR373" s="304"/>
      <c r="GS373" s="304"/>
      <c r="GT373" s="304"/>
      <c r="GU373" s="304"/>
      <c r="GV373" s="304"/>
      <c r="GW373" s="304"/>
      <c r="GX373" s="304"/>
      <c r="GY373" s="304"/>
      <c r="GZ373" s="304"/>
      <c r="HA373" s="304"/>
      <c r="HB373" s="304"/>
      <c r="HC373" s="304"/>
      <c r="HD373" s="304"/>
      <c r="HE373" s="304"/>
      <c r="HF373" s="304"/>
      <c r="HG373" s="304"/>
      <c r="HH373" s="304"/>
      <c r="HI373" s="304"/>
      <c r="HJ373" s="304"/>
      <c r="HK373" s="304"/>
      <c r="HL373" s="304"/>
      <c r="HM373" s="304"/>
      <c r="HN373" s="304"/>
      <c r="HO373" s="304"/>
      <c r="HP373" s="304"/>
      <c r="HQ373" s="304"/>
      <c r="HR373" s="304"/>
      <c r="HS373" s="304"/>
      <c r="HT373" s="304"/>
      <c r="HU373" s="304"/>
      <c r="HV373" s="304"/>
      <c r="HW373" s="304"/>
      <c r="HX373" s="304"/>
      <c r="HY373" s="304"/>
      <c r="HZ373" s="304"/>
      <c r="IA373" s="304"/>
      <c r="IB373" s="304"/>
      <c r="IC373" s="304"/>
      <c r="ID373" s="304"/>
      <c r="IE373" s="304"/>
      <c r="IF373" s="304"/>
      <c r="IG373" s="304"/>
      <c r="IH373" s="304"/>
      <c r="II373" s="304"/>
      <c r="IJ373" s="304"/>
      <c r="IK373" s="304"/>
      <c r="IL373" s="304"/>
      <c r="IM373" s="304"/>
      <c r="IN373" s="304"/>
      <c r="IO373" s="304"/>
      <c r="IP373" s="304"/>
      <c r="IQ373" s="304"/>
      <c r="IR373" s="304"/>
      <c r="IS373" s="304"/>
      <c r="IT373" s="304"/>
      <c r="IU373" s="304"/>
      <c r="IV373" s="304"/>
    </row>
    <row r="374" spans="1:256" ht="23.25">
      <c r="A374" s="309" t="s">
        <v>599</v>
      </c>
      <c r="B374" s="294" t="s">
        <v>600</v>
      </c>
      <c r="C374" s="295">
        <f>+E374/E372</f>
        <v>0.45</v>
      </c>
      <c r="D374" s="310"/>
      <c r="E374" s="299">
        <v>72000</v>
      </c>
      <c r="F374" s="311"/>
      <c r="G374" s="298">
        <f t="shared" si="29"/>
        <v>1</v>
      </c>
      <c r="H374" s="299">
        <f t="shared" si="67"/>
        <v>72000</v>
      </c>
      <c r="I374" s="299">
        <v>72000</v>
      </c>
      <c r="J374" s="298">
        <f t="shared" si="38"/>
        <v>0</v>
      </c>
      <c r="K374" s="300">
        <v>0</v>
      </c>
      <c r="M374" s="174">
        <f t="shared" si="1"/>
        <v>0</v>
      </c>
      <c r="O374" s="144"/>
      <c r="FH374" s="304"/>
      <c r="FI374" s="304"/>
      <c r="FJ374" s="304"/>
      <c r="FK374" s="304"/>
      <c r="FL374" s="304"/>
      <c r="FM374" s="304"/>
      <c r="FN374" s="304"/>
      <c r="FO374" s="304"/>
      <c r="FP374" s="304"/>
      <c r="FQ374" s="304"/>
      <c r="FR374" s="304"/>
      <c r="FS374" s="304"/>
      <c r="FT374" s="304"/>
      <c r="FU374" s="304"/>
      <c r="FV374" s="304"/>
      <c r="FW374" s="304"/>
      <c r="FX374" s="304"/>
      <c r="FY374" s="304"/>
      <c r="FZ374" s="304"/>
      <c r="GA374" s="304"/>
      <c r="GB374" s="304"/>
      <c r="GC374" s="304"/>
      <c r="GD374" s="304"/>
      <c r="GE374" s="304"/>
      <c r="GF374" s="304"/>
      <c r="GG374" s="304"/>
      <c r="GH374" s="304"/>
      <c r="GI374" s="304"/>
      <c r="GJ374" s="304"/>
      <c r="GK374" s="304"/>
      <c r="GL374" s="304"/>
      <c r="GM374" s="304"/>
      <c r="GN374" s="304"/>
      <c r="GO374" s="304"/>
      <c r="GP374" s="304"/>
      <c r="GQ374" s="304"/>
      <c r="GR374" s="304"/>
      <c r="GS374" s="304"/>
      <c r="GT374" s="304"/>
      <c r="GU374" s="304"/>
      <c r="GV374" s="304"/>
      <c r="GW374" s="304"/>
      <c r="GX374" s="304"/>
      <c r="GY374" s="304"/>
      <c r="GZ374" s="304"/>
      <c r="HA374" s="304"/>
      <c r="HB374" s="304"/>
      <c r="HC374" s="304"/>
      <c r="HD374" s="304"/>
      <c r="HE374" s="304"/>
      <c r="HF374" s="304"/>
      <c r="HG374" s="304"/>
      <c r="HH374" s="304"/>
      <c r="HI374" s="304"/>
      <c r="HJ374" s="304"/>
      <c r="HK374" s="304"/>
      <c r="HL374" s="304"/>
      <c r="HM374" s="304"/>
      <c r="HN374" s="304"/>
      <c r="HO374" s="304"/>
      <c r="HP374" s="304"/>
      <c r="HQ374" s="304"/>
      <c r="HR374" s="304"/>
      <c r="HS374" s="304"/>
      <c r="HT374" s="304"/>
      <c r="HU374" s="304"/>
      <c r="HV374" s="304"/>
      <c r="HW374" s="304"/>
      <c r="HX374" s="304"/>
      <c r="HY374" s="304"/>
      <c r="HZ374" s="304"/>
      <c r="IA374" s="304"/>
      <c r="IB374" s="304"/>
      <c r="IC374" s="304"/>
      <c r="ID374" s="304"/>
      <c r="IE374" s="304"/>
      <c r="IF374" s="304"/>
      <c r="IG374" s="304"/>
      <c r="IH374" s="304"/>
      <c r="II374" s="304"/>
      <c r="IJ374" s="304"/>
      <c r="IK374" s="304"/>
      <c r="IL374" s="304"/>
      <c r="IM374" s="304"/>
      <c r="IN374" s="304"/>
      <c r="IO374" s="304"/>
      <c r="IP374" s="304"/>
      <c r="IQ374" s="304"/>
      <c r="IR374" s="304"/>
      <c r="IS374" s="304"/>
      <c r="IT374" s="304"/>
      <c r="IU374" s="304"/>
      <c r="IV374" s="304"/>
    </row>
    <row r="375" spans="1:256" ht="23.25">
      <c r="A375" s="309" t="s">
        <v>601</v>
      </c>
      <c r="B375" s="294" t="s">
        <v>527</v>
      </c>
      <c r="C375" s="295">
        <f>+E375/E372</f>
        <v>0.05</v>
      </c>
      <c r="D375" s="310"/>
      <c r="E375" s="299">
        <v>8000</v>
      </c>
      <c r="F375" s="311"/>
      <c r="G375" s="298">
        <f t="shared" si="29"/>
        <v>0</v>
      </c>
      <c r="H375" s="299">
        <f t="shared" si="67"/>
        <v>0</v>
      </c>
      <c r="I375" s="299">
        <v>0</v>
      </c>
      <c r="J375" s="298">
        <f t="shared" si="38"/>
        <v>0</v>
      </c>
      <c r="K375" s="300">
        <v>0</v>
      </c>
      <c r="M375" s="174">
        <f t="shared" si="1"/>
        <v>0</v>
      </c>
      <c r="O375" s="144"/>
      <c r="FH375" s="304"/>
      <c r="FI375" s="304"/>
      <c r="FJ375" s="304"/>
      <c r="FK375" s="304"/>
      <c r="FL375" s="304"/>
      <c r="FM375" s="304"/>
      <c r="FN375" s="304"/>
      <c r="FO375" s="304"/>
      <c r="FP375" s="304"/>
      <c r="FQ375" s="304"/>
      <c r="FR375" s="304"/>
      <c r="FS375" s="304"/>
      <c r="FT375" s="304"/>
      <c r="FU375" s="304"/>
      <c r="FV375" s="304"/>
      <c r="FW375" s="304"/>
      <c r="FX375" s="304"/>
      <c r="FY375" s="304"/>
      <c r="FZ375" s="304"/>
      <c r="GA375" s="304"/>
      <c r="GB375" s="304"/>
      <c r="GC375" s="304"/>
      <c r="GD375" s="304"/>
      <c r="GE375" s="304"/>
      <c r="GF375" s="304"/>
      <c r="GG375" s="304"/>
      <c r="GH375" s="304"/>
      <c r="GI375" s="304"/>
      <c r="GJ375" s="304"/>
      <c r="GK375" s="304"/>
      <c r="GL375" s="304"/>
      <c r="GM375" s="304"/>
      <c r="GN375" s="304"/>
      <c r="GO375" s="304"/>
      <c r="GP375" s="304"/>
      <c r="GQ375" s="304"/>
      <c r="GR375" s="304"/>
      <c r="GS375" s="304"/>
      <c r="GT375" s="304"/>
      <c r="GU375" s="304"/>
      <c r="GV375" s="304"/>
      <c r="GW375" s="304"/>
      <c r="GX375" s="304"/>
      <c r="GY375" s="304"/>
      <c r="GZ375" s="304"/>
      <c r="HA375" s="304"/>
      <c r="HB375" s="304"/>
      <c r="HC375" s="304"/>
      <c r="HD375" s="304"/>
      <c r="HE375" s="304"/>
      <c r="HF375" s="304"/>
      <c r="HG375" s="304"/>
      <c r="HH375" s="304"/>
      <c r="HI375" s="304"/>
      <c r="HJ375" s="304"/>
      <c r="HK375" s="304"/>
      <c r="HL375" s="304"/>
      <c r="HM375" s="304"/>
      <c r="HN375" s="304"/>
      <c r="HO375" s="304"/>
      <c r="HP375" s="304"/>
      <c r="HQ375" s="304"/>
      <c r="HR375" s="304"/>
      <c r="HS375" s="304"/>
      <c r="HT375" s="304"/>
      <c r="HU375" s="304"/>
      <c r="HV375" s="304"/>
      <c r="HW375" s="304"/>
      <c r="HX375" s="304"/>
      <c r="HY375" s="304"/>
      <c r="HZ375" s="304"/>
      <c r="IA375" s="304"/>
      <c r="IB375" s="304"/>
      <c r="IC375" s="304"/>
      <c r="ID375" s="304"/>
      <c r="IE375" s="304"/>
      <c r="IF375" s="304"/>
      <c r="IG375" s="304"/>
      <c r="IH375" s="304"/>
      <c r="II375" s="304"/>
      <c r="IJ375" s="304"/>
      <c r="IK375" s="304"/>
      <c r="IL375" s="304"/>
      <c r="IM375" s="304"/>
      <c r="IN375" s="304"/>
      <c r="IO375" s="304"/>
      <c r="IP375" s="304"/>
      <c r="IQ375" s="304"/>
      <c r="IR375" s="304"/>
      <c r="IS375" s="304"/>
      <c r="IT375" s="304"/>
      <c r="IU375" s="304"/>
      <c r="IV375" s="304"/>
    </row>
    <row r="376" spans="1:15" ht="23.25">
      <c r="A376" s="268" t="s">
        <v>602</v>
      </c>
      <c r="B376" s="269" t="s">
        <v>603</v>
      </c>
      <c r="C376" s="268" t="s">
        <v>604</v>
      </c>
      <c r="D376" s="270">
        <v>1298550</v>
      </c>
      <c r="E376" s="273">
        <f>$K$8*3.3%</f>
        <v>1298550</v>
      </c>
      <c r="F376" s="271">
        <f>F377+F384</f>
        <v>1235756.99</v>
      </c>
      <c r="G376" s="434">
        <f>+H376/E376</f>
        <v>1.000000654576258</v>
      </c>
      <c r="H376" s="273">
        <f>+H377+H384</f>
        <v>1298550.8499999999</v>
      </c>
      <c r="I376" s="273">
        <f>+I377+I384</f>
        <v>1298550.8499999999</v>
      </c>
      <c r="J376" s="434">
        <f t="shared" si="38"/>
        <v>0</v>
      </c>
      <c r="K376" s="274">
        <f>+K377+K384</f>
        <v>0</v>
      </c>
      <c r="M376" s="174">
        <f t="shared" si="1"/>
        <v>0</v>
      </c>
      <c r="O376" s="144"/>
    </row>
    <row r="377" spans="1:15" ht="23.25">
      <c r="A377" s="275">
        <v>1</v>
      </c>
      <c r="B377" s="276" t="s">
        <v>824</v>
      </c>
      <c r="C377" s="277">
        <v>0.95</v>
      </c>
      <c r="D377" s="278">
        <v>1233622.5</v>
      </c>
      <c r="E377" s="233">
        <f>$E$376*C377</f>
        <v>1233622.5</v>
      </c>
      <c r="F377" s="279">
        <f>SUM(E378:E382)</f>
        <v>1170893.63</v>
      </c>
      <c r="G377" s="232">
        <f aca="true" t="shared" si="70" ref="G377:G430">H377/E377</f>
        <v>1.0000519851088967</v>
      </c>
      <c r="H377" s="233">
        <f>SUM(H378:H383)</f>
        <v>1233686.63</v>
      </c>
      <c r="I377" s="233">
        <f>SUM(I378:I383)</f>
        <v>1233686.63</v>
      </c>
      <c r="J377" s="267">
        <f t="shared" si="38"/>
        <v>0</v>
      </c>
      <c r="K377" s="234">
        <f>SUM(K378:K383)</f>
        <v>0</v>
      </c>
      <c r="M377" s="174">
        <f t="shared" si="1"/>
        <v>0</v>
      </c>
      <c r="O377" s="144"/>
    </row>
    <row r="378" spans="1:15" ht="23.25">
      <c r="A378" s="243" t="s">
        <v>10</v>
      </c>
      <c r="B378" s="244" t="s">
        <v>407</v>
      </c>
      <c r="C378" s="245">
        <v>0.1</v>
      </c>
      <c r="D378" s="246">
        <v>123362</v>
      </c>
      <c r="E378" s="249">
        <v>123362</v>
      </c>
      <c r="F378" s="247"/>
      <c r="G378" s="248">
        <f t="shared" si="70"/>
        <v>1</v>
      </c>
      <c r="H378" s="249">
        <f>+E378</f>
        <v>123362</v>
      </c>
      <c r="I378" s="249">
        <v>123362</v>
      </c>
      <c r="J378" s="435">
        <f t="shared" si="38"/>
        <v>0</v>
      </c>
      <c r="K378" s="250">
        <v>0</v>
      </c>
      <c r="M378" s="174">
        <f t="shared" si="1"/>
        <v>0</v>
      </c>
      <c r="O378" s="144"/>
    </row>
    <row r="379" spans="1:15" ht="23.25">
      <c r="A379" s="251" t="s">
        <v>20</v>
      </c>
      <c r="B379" s="252" t="s">
        <v>412</v>
      </c>
      <c r="C379" s="253">
        <v>0.25</v>
      </c>
      <c r="D379" s="254">
        <v>308405</v>
      </c>
      <c r="E379" s="249">
        <v>308405</v>
      </c>
      <c r="F379" s="247"/>
      <c r="G379" s="435">
        <f t="shared" si="70"/>
        <v>1</v>
      </c>
      <c r="H379" s="249">
        <f aca="true" t="shared" si="71" ref="H379:H383">+I379+K379</f>
        <v>308405</v>
      </c>
      <c r="I379" s="249">
        <v>308405</v>
      </c>
      <c r="J379" s="301">
        <f t="shared" si="38"/>
        <v>0</v>
      </c>
      <c r="K379" s="250">
        <v>0</v>
      </c>
      <c r="M379" s="174">
        <f t="shared" si="1"/>
        <v>0</v>
      </c>
      <c r="O379" s="144"/>
    </row>
    <row r="380" spans="1:15" ht="23.25">
      <c r="A380" s="251" t="s">
        <v>87</v>
      </c>
      <c r="B380" s="252" t="s">
        <v>825</v>
      </c>
      <c r="C380" s="253">
        <v>0.04</v>
      </c>
      <c r="D380" s="254">
        <v>49347.5</v>
      </c>
      <c r="E380" s="249">
        <v>49411.63</v>
      </c>
      <c r="F380" s="247"/>
      <c r="G380" s="435">
        <f t="shared" si="70"/>
        <v>1</v>
      </c>
      <c r="H380" s="249">
        <f t="shared" si="71"/>
        <v>49411.63</v>
      </c>
      <c r="I380" s="249">
        <v>49411.63</v>
      </c>
      <c r="J380" s="301">
        <f t="shared" si="38"/>
        <v>0</v>
      </c>
      <c r="K380" s="250">
        <v>0</v>
      </c>
      <c r="M380" s="174">
        <f t="shared" si="1"/>
        <v>0</v>
      </c>
      <c r="O380" s="144"/>
    </row>
    <row r="381" spans="1:15" ht="23.25">
      <c r="A381" s="251" t="s">
        <v>89</v>
      </c>
      <c r="B381" s="252" t="s">
        <v>826</v>
      </c>
      <c r="C381" s="253">
        <v>0.13</v>
      </c>
      <c r="D381" s="254">
        <v>160370</v>
      </c>
      <c r="E381" s="249">
        <v>160370</v>
      </c>
      <c r="F381" s="247"/>
      <c r="G381" s="248">
        <f t="shared" si="70"/>
        <v>1</v>
      </c>
      <c r="H381" s="249">
        <f t="shared" si="71"/>
        <v>160370</v>
      </c>
      <c r="I381" s="249">
        <v>160370</v>
      </c>
      <c r="J381" s="301">
        <f t="shared" si="38"/>
        <v>0</v>
      </c>
      <c r="K381" s="250">
        <v>0</v>
      </c>
      <c r="M381" s="174">
        <f t="shared" si="1"/>
        <v>0</v>
      </c>
      <c r="O381" s="144"/>
    </row>
    <row r="382" spans="1:15" ht="23.25">
      <c r="A382" s="251" t="s">
        <v>91</v>
      </c>
      <c r="B382" s="252" t="s">
        <v>419</v>
      </c>
      <c r="C382" s="253">
        <v>0.43</v>
      </c>
      <c r="D382" s="254">
        <v>529345</v>
      </c>
      <c r="E382" s="249">
        <v>529345</v>
      </c>
      <c r="F382" s="247"/>
      <c r="G382" s="248">
        <f t="shared" si="70"/>
        <v>1</v>
      </c>
      <c r="H382" s="249">
        <f t="shared" si="71"/>
        <v>529345</v>
      </c>
      <c r="I382" s="249">
        <v>529345</v>
      </c>
      <c r="J382" s="301">
        <f t="shared" si="38"/>
        <v>0</v>
      </c>
      <c r="K382" s="250">
        <v>0</v>
      </c>
      <c r="M382" s="174">
        <f t="shared" si="1"/>
        <v>0</v>
      </c>
      <c r="O382" s="144"/>
    </row>
    <row r="383" spans="1:15" ht="23.25">
      <c r="A383" s="259" t="s">
        <v>93</v>
      </c>
      <c r="B383" s="260" t="s">
        <v>608</v>
      </c>
      <c r="C383" s="261">
        <v>0.05</v>
      </c>
      <c r="D383" s="262">
        <v>62793</v>
      </c>
      <c r="E383" s="317">
        <v>62793</v>
      </c>
      <c r="F383" s="263"/>
      <c r="G383" s="316">
        <f t="shared" si="70"/>
        <v>1</v>
      </c>
      <c r="H383" s="317">
        <f t="shared" si="71"/>
        <v>62793</v>
      </c>
      <c r="I383" s="317">
        <v>62793</v>
      </c>
      <c r="J383" s="308">
        <f t="shared" si="38"/>
        <v>0</v>
      </c>
      <c r="K383" s="318">
        <v>0</v>
      </c>
      <c r="M383" s="174">
        <f t="shared" si="1"/>
        <v>0</v>
      </c>
      <c r="O383" s="144"/>
    </row>
    <row r="384" spans="1:15" ht="23.25">
      <c r="A384" s="275">
        <v>2</v>
      </c>
      <c r="B384" s="276" t="s">
        <v>609</v>
      </c>
      <c r="C384" s="277">
        <v>0.05</v>
      </c>
      <c r="D384" s="278">
        <v>64927.5</v>
      </c>
      <c r="E384" s="233">
        <f>$E$376*C384-64.14</f>
        <v>64863.36</v>
      </c>
      <c r="F384" s="279">
        <f>SUM(E385:E387)</f>
        <v>64863.36</v>
      </c>
      <c r="G384" s="232">
        <f t="shared" si="70"/>
        <v>1.0000132586409338</v>
      </c>
      <c r="H384" s="233">
        <f>SUM(H385:H387)</f>
        <v>64864.22</v>
      </c>
      <c r="I384" s="233">
        <f>SUM(I385:I387)</f>
        <v>64864.22</v>
      </c>
      <c r="J384" s="267">
        <f t="shared" si="38"/>
        <v>0</v>
      </c>
      <c r="K384" s="234">
        <f>+K385+K386+K387</f>
        <v>0</v>
      </c>
      <c r="M384" s="174">
        <f t="shared" si="1"/>
        <v>0</v>
      </c>
      <c r="O384" s="144"/>
    </row>
    <row r="385" spans="1:15" ht="23.25">
      <c r="A385" s="243" t="s">
        <v>62</v>
      </c>
      <c r="B385" s="244" t="s">
        <v>407</v>
      </c>
      <c r="C385" s="436">
        <f aca="true" t="shared" si="72" ref="C385:C387">+E385/$E$384</f>
        <v>0.09909847408459875</v>
      </c>
      <c r="D385" s="246">
        <v>6492</v>
      </c>
      <c r="E385" s="317">
        <v>6427.86</v>
      </c>
      <c r="F385" s="307"/>
      <c r="G385" s="316">
        <f t="shared" si="70"/>
        <v>1</v>
      </c>
      <c r="H385" s="317">
        <f aca="true" t="shared" si="73" ref="H385:H387">+I385+K385</f>
        <v>6427.86</v>
      </c>
      <c r="I385" s="317">
        <v>6427.86</v>
      </c>
      <c r="J385" s="248">
        <f t="shared" si="38"/>
        <v>0</v>
      </c>
      <c r="K385" s="318">
        <v>0</v>
      </c>
      <c r="M385" s="174">
        <f t="shared" si="1"/>
        <v>0</v>
      </c>
      <c r="O385" s="144"/>
    </row>
    <row r="386" spans="1:15" ht="23.25">
      <c r="A386" s="251" t="s">
        <v>64</v>
      </c>
      <c r="B386" s="252" t="s">
        <v>412</v>
      </c>
      <c r="C386" s="436">
        <f t="shared" si="72"/>
        <v>0.3503364611392318</v>
      </c>
      <c r="D386" s="254">
        <v>22724</v>
      </c>
      <c r="E386" s="265">
        <v>22724</v>
      </c>
      <c r="F386" s="263"/>
      <c r="G386" s="264">
        <f t="shared" si="70"/>
        <v>1.0000378454497447</v>
      </c>
      <c r="H386" s="265">
        <f t="shared" si="73"/>
        <v>22724.86</v>
      </c>
      <c r="I386" s="265">
        <v>22724.86</v>
      </c>
      <c r="J386" s="256">
        <f t="shared" si="38"/>
        <v>0</v>
      </c>
      <c r="K386" s="266">
        <v>0</v>
      </c>
      <c r="M386" s="174">
        <f t="shared" si="1"/>
        <v>0</v>
      </c>
      <c r="O386" s="144"/>
    </row>
    <row r="387" spans="1:15" ht="23.25">
      <c r="A387" s="259" t="s">
        <v>66</v>
      </c>
      <c r="B387" s="260" t="s">
        <v>419</v>
      </c>
      <c r="C387" s="436">
        <f t="shared" si="72"/>
        <v>0.5505650647761695</v>
      </c>
      <c r="D387" s="262">
        <v>35711.5</v>
      </c>
      <c r="E387" s="265">
        <v>35711.5</v>
      </c>
      <c r="F387" s="263"/>
      <c r="G387" s="264">
        <f t="shared" si="70"/>
        <v>1</v>
      </c>
      <c r="H387" s="265">
        <f t="shared" si="73"/>
        <v>35711.5</v>
      </c>
      <c r="I387" s="265">
        <v>35711.5</v>
      </c>
      <c r="J387" s="264">
        <f t="shared" si="38"/>
        <v>0</v>
      </c>
      <c r="K387" s="266">
        <v>0</v>
      </c>
      <c r="M387" s="174">
        <f t="shared" si="1"/>
        <v>0</v>
      </c>
      <c r="O387" s="144"/>
    </row>
    <row r="388" spans="1:15" ht="23.25">
      <c r="A388" s="365" t="s">
        <v>611</v>
      </c>
      <c r="B388" s="366" t="s">
        <v>612</v>
      </c>
      <c r="C388" s="365" t="s">
        <v>613</v>
      </c>
      <c r="D388" s="367">
        <v>8617650</v>
      </c>
      <c r="E388" s="368">
        <f>$K$8*21.9%</f>
        <v>8617649.999999998</v>
      </c>
      <c r="F388" s="369">
        <f>SUM(E389:E398)</f>
        <v>9220885.499999998</v>
      </c>
      <c r="G388" s="437">
        <f t="shared" si="70"/>
        <v>1.0000000000000002</v>
      </c>
      <c r="H388" s="368">
        <f>SUM(H389:H391,H394:H398)</f>
        <v>8617650</v>
      </c>
      <c r="I388" s="368">
        <f>SUM(I389:I391,I394:I398)</f>
        <v>8617650</v>
      </c>
      <c r="J388" s="437">
        <f t="shared" si="38"/>
        <v>0</v>
      </c>
      <c r="K388" s="371">
        <f>+K389+K390+K391+K394+K395+K396+K397+K398</f>
        <v>0</v>
      </c>
      <c r="M388" s="174">
        <f t="shared" si="1"/>
        <v>0</v>
      </c>
      <c r="O388" s="144"/>
    </row>
    <row r="389" spans="1:15" ht="23.25">
      <c r="A389" s="275">
        <v>1</v>
      </c>
      <c r="B389" s="276" t="s">
        <v>614</v>
      </c>
      <c r="C389" s="277">
        <v>0.06</v>
      </c>
      <c r="D389" s="278">
        <v>517058.9999999999</v>
      </c>
      <c r="E389" s="233">
        <f aca="true" t="shared" si="74" ref="E389:E391">$E$388*C389</f>
        <v>517058.9999999999</v>
      </c>
      <c r="F389" s="279"/>
      <c r="G389" s="232">
        <f t="shared" si="70"/>
        <v>1.0000000000000002</v>
      </c>
      <c r="H389" s="233">
        <f aca="true" t="shared" si="75" ref="H389:H398">+I389+K389</f>
        <v>517059</v>
      </c>
      <c r="I389" s="233">
        <v>517059</v>
      </c>
      <c r="J389" s="267">
        <f t="shared" si="38"/>
        <v>0</v>
      </c>
      <c r="K389" s="234">
        <v>0</v>
      </c>
      <c r="M389" s="174">
        <f t="shared" si="1"/>
        <v>0</v>
      </c>
      <c r="O389" s="144"/>
    </row>
    <row r="390" spans="1:15" ht="23.25">
      <c r="A390" s="275">
        <v>2</v>
      </c>
      <c r="B390" s="276" t="s">
        <v>615</v>
      </c>
      <c r="C390" s="277">
        <v>0.47</v>
      </c>
      <c r="D390" s="278">
        <v>4050295.499999999</v>
      </c>
      <c r="E390" s="233">
        <f t="shared" si="74"/>
        <v>4050295.499999999</v>
      </c>
      <c r="F390" s="279"/>
      <c r="G390" s="232">
        <f t="shared" si="70"/>
        <v>1.0000000000000002</v>
      </c>
      <c r="H390" s="233">
        <f t="shared" si="75"/>
        <v>4050295.5</v>
      </c>
      <c r="I390" s="233">
        <v>4050295.5</v>
      </c>
      <c r="J390" s="267">
        <f t="shared" si="38"/>
        <v>0</v>
      </c>
      <c r="K390" s="234">
        <v>0</v>
      </c>
      <c r="M390" s="174">
        <f t="shared" si="1"/>
        <v>0</v>
      </c>
      <c r="O390" s="144"/>
    </row>
    <row r="391" spans="1:15" ht="23.25">
      <c r="A391" s="275">
        <v>3</v>
      </c>
      <c r="B391" s="276" t="s">
        <v>616</v>
      </c>
      <c r="C391" s="277">
        <v>0.07</v>
      </c>
      <c r="D391" s="278">
        <v>603235.4999999999</v>
      </c>
      <c r="E391" s="233">
        <f t="shared" si="74"/>
        <v>603235.4999999999</v>
      </c>
      <c r="F391" s="279"/>
      <c r="G391" s="232">
        <f t="shared" si="70"/>
        <v>1.0000000000000002</v>
      </c>
      <c r="H391" s="233">
        <f t="shared" si="75"/>
        <v>603235.5</v>
      </c>
      <c r="I391" s="233">
        <f>+I392+I393</f>
        <v>603235.5</v>
      </c>
      <c r="J391" s="267">
        <f t="shared" si="38"/>
        <v>0</v>
      </c>
      <c r="K391" s="234">
        <f>SUM(K392:K393)</f>
        <v>0</v>
      </c>
      <c r="M391" s="174">
        <f t="shared" si="1"/>
        <v>0</v>
      </c>
      <c r="O391" s="144"/>
    </row>
    <row r="392" spans="1:15" ht="23.25">
      <c r="A392" s="281" t="s">
        <v>71</v>
      </c>
      <c r="B392" s="282" t="s">
        <v>827</v>
      </c>
      <c r="C392" s="407">
        <f>E392/E391</f>
        <v>0.8</v>
      </c>
      <c r="D392" s="284"/>
      <c r="E392" s="287">
        <f>E391*0.8</f>
        <v>482588.3999999999</v>
      </c>
      <c r="F392" s="285"/>
      <c r="G392" s="286">
        <f t="shared" si="70"/>
        <v>1.0000000000000002</v>
      </c>
      <c r="H392" s="287">
        <f t="shared" si="75"/>
        <v>482588.4</v>
      </c>
      <c r="I392" s="287">
        <v>482588.4</v>
      </c>
      <c r="J392" s="288">
        <f t="shared" si="38"/>
        <v>0</v>
      </c>
      <c r="K392" s="289">
        <v>0</v>
      </c>
      <c r="M392" s="174">
        <f t="shared" si="1"/>
        <v>0</v>
      </c>
      <c r="O392" s="144"/>
    </row>
    <row r="393" spans="1:15" ht="23.25">
      <c r="A393" s="281" t="s">
        <v>73</v>
      </c>
      <c r="B393" s="282" t="s">
        <v>828</v>
      </c>
      <c r="C393" s="407">
        <f>E393/E391</f>
        <v>0.2</v>
      </c>
      <c r="D393" s="284"/>
      <c r="E393" s="287">
        <f>E391*0.2</f>
        <v>120647.09999999998</v>
      </c>
      <c r="F393" s="285"/>
      <c r="G393" s="286">
        <f t="shared" si="70"/>
        <v>1.0000000000000002</v>
      </c>
      <c r="H393" s="287">
        <f t="shared" si="75"/>
        <v>120647.1</v>
      </c>
      <c r="I393" s="287">
        <v>120647.1</v>
      </c>
      <c r="J393" s="288">
        <f t="shared" si="38"/>
        <v>0</v>
      </c>
      <c r="K393" s="289">
        <v>0</v>
      </c>
      <c r="M393" s="174">
        <f t="shared" si="1"/>
        <v>0</v>
      </c>
      <c r="O393" s="144"/>
    </row>
    <row r="394" spans="1:15" ht="23.25">
      <c r="A394" s="275">
        <v>4</v>
      </c>
      <c r="B394" s="276" t="s">
        <v>619</v>
      </c>
      <c r="C394" s="277">
        <v>0.06</v>
      </c>
      <c r="D394" s="278">
        <v>517058.9999999999</v>
      </c>
      <c r="E394" s="233">
        <f aca="true" t="shared" si="76" ref="E394:E398">$E$388*C394</f>
        <v>517058.9999999999</v>
      </c>
      <c r="F394" s="279"/>
      <c r="G394" s="232">
        <f t="shared" si="70"/>
        <v>1.0000000000000002</v>
      </c>
      <c r="H394" s="233">
        <f t="shared" si="75"/>
        <v>517059</v>
      </c>
      <c r="I394" s="233">
        <v>517059</v>
      </c>
      <c r="J394" s="267">
        <f t="shared" si="38"/>
        <v>0</v>
      </c>
      <c r="K394" s="234">
        <v>0</v>
      </c>
      <c r="M394" s="174">
        <f t="shared" si="1"/>
        <v>0</v>
      </c>
      <c r="O394" s="144"/>
    </row>
    <row r="395" spans="1:15" ht="23.25">
      <c r="A395" s="275">
        <v>5</v>
      </c>
      <c r="B395" s="276" t="s">
        <v>620</v>
      </c>
      <c r="C395" s="277">
        <v>0.13</v>
      </c>
      <c r="D395" s="278">
        <v>1120294.4999999998</v>
      </c>
      <c r="E395" s="233">
        <f t="shared" si="76"/>
        <v>1120294.4999999998</v>
      </c>
      <c r="F395" s="279"/>
      <c r="G395" s="232">
        <f t="shared" si="70"/>
        <v>1.0000000000000002</v>
      </c>
      <c r="H395" s="233">
        <f t="shared" si="75"/>
        <v>1120294.5</v>
      </c>
      <c r="I395" s="233">
        <v>1120294.5</v>
      </c>
      <c r="J395" s="267">
        <f t="shared" si="38"/>
        <v>0</v>
      </c>
      <c r="K395" s="234">
        <v>0</v>
      </c>
      <c r="M395" s="174">
        <f t="shared" si="1"/>
        <v>0</v>
      </c>
      <c r="O395" s="144"/>
    </row>
    <row r="396" spans="1:15" ht="23.25">
      <c r="A396" s="275">
        <v>6</v>
      </c>
      <c r="B396" s="276" t="s">
        <v>621</v>
      </c>
      <c r="C396" s="277">
        <v>0.09</v>
      </c>
      <c r="D396" s="278">
        <v>775588.4999999998</v>
      </c>
      <c r="E396" s="233">
        <f t="shared" si="76"/>
        <v>775588.4999999998</v>
      </c>
      <c r="F396" s="279"/>
      <c r="G396" s="232">
        <f t="shared" si="70"/>
        <v>1.0000000000000002</v>
      </c>
      <c r="H396" s="233">
        <f t="shared" si="75"/>
        <v>775588.5</v>
      </c>
      <c r="I396" s="233">
        <v>775588.5</v>
      </c>
      <c r="J396" s="267">
        <f t="shared" si="38"/>
        <v>0</v>
      </c>
      <c r="K396" s="234">
        <v>0</v>
      </c>
      <c r="M396" s="174">
        <f t="shared" si="1"/>
        <v>0</v>
      </c>
      <c r="O396" s="144"/>
    </row>
    <row r="397" spans="1:15" ht="23.25">
      <c r="A397" s="275">
        <v>7</v>
      </c>
      <c r="B397" s="276" t="s">
        <v>622</v>
      </c>
      <c r="C397" s="277">
        <v>0.01</v>
      </c>
      <c r="D397" s="278">
        <v>86176.49999999999</v>
      </c>
      <c r="E397" s="233">
        <f t="shared" si="76"/>
        <v>86176.49999999999</v>
      </c>
      <c r="F397" s="279"/>
      <c r="G397" s="232">
        <f t="shared" si="70"/>
        <v>1.0000000000000002</v>
      </c>
      <c r="H397" s="233">
        <f t="shared" si="75"/>
        <v>86176.5</v>
      </c>
      <c r="I397" s="233">
        <v>86176.5</v>
      </c>
      <c r="J397" s="267">
        <f t="shared" si="38"/>
        <v>0</v>
      </c>
      <c r="K397" s="234">
        <v>0</v>
      </c>
      <c r="M397" s="174">
        <f t="shared" si="1"/>
        <v>0</v>
      </c>
      <c r="O397" s="144"/>
    </row>
    <row r="398" spans="1:15" ht="23.25">
      <c r="A398" s="275">
        <v>8</v>
      </c>
      <c r="B398" s="276" t="s">
        <v>829</v>
      </c>
      <c r="C398" s="277">
        <v>0.11</v>
      </c>
      <c r="D398" s="278">
        <v>947941.4999999998</v>
      </c>
      <c r="E398" s="233">
        <f t="shared" si="76"/>
        <v>947941.4999999998</v>
      </c>
      <c r="F398" s="279"/>
      <c r="G398" s="232">
        <f t="shared" si="70"/>
        <v>1.0000000000000002</v>
      </c>
      <c r="H398" s="233">
        <f t="shared" si="75"/>
        <v>947941.5</v>
      </c>
      <c r="I398" s="233">
        <v>947941.5</v>
      </c>
      <c r="J398" s="267">
        <f t="shared" si="38"/>
        <v>0</v>
      </c>
      <c r="K398" s="234">
        <v>0</v>
      </c>
      <c r="M398" s="174">
        <f t="shared" si="1"/>
        <v>0</v>
      </c>
      <c r="O398" s="144"/>
    </row>
    <row r="399" spans="1:15" ht="23.25">
      <c r="A399" s="268" t="s">
        <v>624</v>
      </c>
      <c r="B399" s="269" t="s">
        <v>625</v>
      </c>
      <c r="C399" s="268" t="s">
        <v>626</v>
      </c>
      <c r="D399" s="270">
        <v>8381550</v>
      </c>
      <c r="E399" s="273">
        <f>$K$8*21.3%</f>
        <v>8381550</v>
      </c>
      <c r="F399" s="271">
        <f>SUM(E400:E427)</f>
        <v>23212314.900000002</v>
      </c>
      <c r="G399" s="272">
        <f t="shared" si="70"/>
        <v>0.9985585169807493</v>
      </c>
      <c r="H399" s="273">
        <f>+H400+H409+H427</f>
        <v>8369468.137999999</v>
      </c>
      <c r="I399" s="273">
        <f>+I400+I409+I427</f>
        <v>7091323.289999999</v>
      </c>
      <c r="J399" s="272">
        <f t="shared" si="38"/>
        <v>0.15249504542715847</v>
      </c>
      <c r="K399" s="274">
        <f>+K400+K409+K427</f>
        <v>1278144.848</v>
      </c>
      <c r="M399" s="174">
        <f t="shared" si="1"/>
        <v>1278144.8480000002</v>
      </c>
      <c r="O399" s="144"/>
    </row>
    <row r="400" spans="1:15" ht="43.5">
      <c r="A400" s="275">
        <v>1</v>
      </c>
      <c r="B400" s="438" t="s">
        <v>627</v>
      </c>
      <c r="C400" s="277">
        <v>0.91</v>
      </c>
      <c r="D400" s="278">
        <v>7627210.5</v>
      </c>
      <c r="E400" s="233">
        <f>$E$399*C400</f>
        <v>7627210.5</v>
      </c>
      <c r="F400" s="279"/>
      <c r="G400" s="232">
        <f t="shared" si="70"/>
        <v>1.0000000023599716</v>
      </c>
      <c r="H400" s="233">
        <f aca="true" t="shared" si="77" ref="H400:H408">+I400+K400</f>
        <v>7627210.517999999</v>
      </c>
      <c r="I400" s="233">
        <f>+I401+I406+I407+I408</f>
        <v>6437365.669999999</v>
      </c>
      <c r="J400" s="267">
        <f t="shared" si="38"/>
        <v>0.15600000131109532</v>
      </c>
      <c r="K400" s="234">
        <f>SUM(K401,K406,K407,K408)</f>
        <v>1189844.848</v>
      </c>
      <c r="M400" s="174">
        <f t="shared" si="1"/>
        <v>1189844.8480000002</v>
      </c>
      <c r="O400" s="144"/>
    </row>
    <row r="401" spans="1:15" ht="43.5">
      <c r="A401" s="439" t="s">
        <v>10</v>
      </c>
      <c r="B401" s="440" t="s">
        <v>628</v>
      </c>
      <c r="C401" s="441">
        <f>E401/E400</f>
        <v>0.8</v>
      </c>
      <c r="D401" s="442"/>
      <c r="E401" s="287">
        <v>6101768.4</v>
      </c>
      <c r="F401" s="443"/>
      <c r="G401" s="286">
        <f t="shared" si="70"/>
        <v>1.0000000013110952</v>
      </c>
      <c r="H401" s="287">
        <f t="shared" si="77"/>
        <v>6101768.408</v>
      </c>
      <c r="I401" s="287">
        <f>+I402+I403+I404+I405+0.01</f>
        <v>5369556.199999999</v>
      </c>
      <c r="J401" s="288">
        <f t="shared" si="38"/>
        <v>0.12000000000000001</v>
      </c>
      <c r="K401" s="289">
        <f>SUM(K402:K405)</f>
        <v>732212.2080000001</v>
      </c>
      <c r="M401" s="174">
        <f t="shared" si="1"/>
        <v>732212.2080000006</v>
      </c>
      <c r="O401" s="144"/>
    </row>
    <row r="402" spans="1:15" ht="23.25">
      <c r="A402" s="444" t="s">
        <v>12</v>
      </c>
      <c r="B402" s="445" t="s">
        <v>629</v>
      </c>
      <c r="C402" s="446">
        <f aca="true" t="shared" si="78" ref="C402:C405">E402/$E$401</f>
        <v>0.2</v>
      </c>
      <c r="D402" s="447"/>
      <c r="E402" s="415">
        <v>1220353.6800000002</v>
      </c>
      <c r="F402" s="448"/>
      <c r="G402" s="449">
        <f t="shared" si="70"/>
        <v>0.9999999999999998</v>
      </c>
      <c r="H402" s="415">
        <f t="shared" si="77"/>
        <v>1220353.68</v>
      </c>
      <c r="I402" s="415">
        <v>1220353.68</v>
      </c>
      <c r="J402" s="450">
        <f t="shared" si="38"/>
        <v>0</v>
      </c>
      <c r="K402" s="420">
        <v>0</v>
      </c>
      <c r="M402" s="174">
        <f t="shared" si="1"/>
        <v>0</v>
      </c>
      <c r="O402" s="144"/>
    </row>
    <row r="403" spans="1:15" ht="23.25">
      <c r="A403" s="444" t="s">
        <v>14</v>
      </c>
      <c r="B403" s="445" t="s">
        <v>630</v>
      </c>
      <c r="C403" s="446">
        <f t="shared" si="78"/>
        <v>0.1</v>
      </c>
      <c r="D403" s="447"/>
      <c r="E403" s="415">
        <v>610176.8400000001</v>
      </c>
      <c r="F403" s="448"/>
      <c r="G403" s="449">
        <f t="shared" si="70"/>
        <v>0.9999999999999998</v>
      </c>
      <c r="H403" s="415">
        <f t="shared" si="77"/>
        <v>610176.84</v>
      </c>
      <c r="I403" s="415">
        <v>610176.84</v>
      </c>
      <c r="J403" s="450">
        <f t="shared" si="38"/>
        <v>0</v>
      </c>
      <c r="K403" s="420">
        <v>0</v>
      </c>
      <c r="M403" s="174">
        <f t="shared" si="1"/>
        <v>0</v>
      </c>
      <c r="O403" s="144"/>
    </row>
    <row r="404" spans="1:15" ht="43.5">
      <c r="A404" s="444" t="s">
        <v>16</v>
      </c>
      <c r="B404" s="445" t="s">
        <v>631</v>
      </c>
      <c r="C404" s="446">
        <f t="shared" si="78"/>
        <v>0.6</v>
      </c>
      <c r="D404" s="447"/>
      <c r="E404" s="415">
        <v>3661061.04</v>
      </c>
      <c r="F404" s="448"/>
      <c r="G404" s="449">
        <f t="shared" si="70"/>
        <v>0.9999999994537103</v>
      </c>
      <c r="H404" s="415">
        <f t="shared" si="77"/>
        <v>3661061.038</v>
      </c>
      <c r="I404" s="415">
        <v>2928848.83</v>
      </c>
      <c r="J404" s="450">
        <f t="shared" si="38"/>
        <v>0.20000000000000004</v>
      </c>
      <c r="K404" s="420">
        <f>0.2*E404</f>
        <v>732212.2080000001</v>
      </c>
      <c r="M404" s="174">
        <f t="shared" si="1"/>
        <v>732212.2080000001</v>
      </c>
      <c r="O404" s="144"/>
    </row>
    <row r="405" spans="1:15" ht="23.25">
      <c r="A405" s="444" t="s">
        <v>18</v>
      </c>
      <c r="B405" s="445" t="s">
        <v>632</v>
      </c>
      <c r="C405" s="446">
        <f t="shared" si="78"/>
        <v>0.1</v>
      </c>
      <c r="D405" s="447"/>
      <c r="E405" s="415">
        <v>610176.8400000001</v>
      </c>
      <c r="F405" s="448"/>
      <c r="G405" s="449">
        <f t="shared" si="70"/>
        <v>0.9999999999999998</v>
      </c>
      <c r="H405" s="415">
        <f t="shared" si="77"/>
        <v>610176.84</v>
      </c>
      <c r="I405" s="415">
        <v>610176.84</v>
      </c>
      <c r="J405" s="450">
        <f t="shared" si="38"/>
        <v>0</v>
      </c>
      <c r="K405" s="420">
        <v>0</v>
      </c>
      <c r="M405" s="174">
        <f t="shared" si="1"/>
        <v>0</v>
      </c>
      <c r="O405" s="144"/>
    </row>
    <row r="406" spans="1:15" ht="23.25">
      <c r="A406" s="439" t="s">
        <v>20</v>
      </c>
      <c r="B406" s="440" t="s">
        <v>633</v>
      </c>
      <c r="C406" s="441">
        <f aca="true" t="shared" si="79" ref="C406:C408">E406/$E$400</f>
        <v>0.12</v>
      </c>
      <c r="D406" s="442"/>
      <c r="E406" s="287">
        <v>915265.26</v>
      </c>
      <c r="F406" s="443"/>
      <c r="G406" s="286">
        <f t="shared" si="70"/>
        <v>0.9999999978148412</v>
      </c>
      <c r="H406" s="287">
        <f t="shared" si="77"/>
        <v>915265.258</v>
      </c>
      <c r="I406" s="287">
        <v>640685.68</v>
      </c>
      <c r="J406" s="288">
        <f t="shared" si="38"/>
        <v>0.3</v>
      </c>
      <c r="K406" s="289">
        <f>0.3*E406</f>
        <v>274579.578</v>
      </c>
      <c r="M406" s="174">
        <f t="shared" si="1"/>
        <v>274579.578</v>
      </c>
      <c r="O406" s="144"/>
    </row>
    <row r="407" spans="1:15" ht="23.25">
      <c r="A407" s="439" t="s">
        <v>87</v>
      </c>
      <c r="B407" s="440" t="s">
        <v>634</v>
      </c>
      <c r="C407" s="441">
        <f t="shared" si="79"/>
        <v>0.03</v>
      </c>
      <c r="D407" s="442"/>
      <c r="E407" s="287">
        <v>228816.315</v>
      </c>
      <c r="F407" s="443"/>
      <c r="G407" s="286">
        <f t="shared" si="70"/>
        <v>1.0000000415180184</v>
      </c>
      <c r="H407" s="287">
        <f t="shared" si="77"/>
        <v>228816.3245</v>
      </c>
      <c r="I407" s="287">
        <v>160171.42</v>
      </c>
      <c r="J407" s="288">
        <f t="shared" si="38"/>
        <v>0.30000004370317734</v>
      </c>
      <c r="K407" s="289">
        <f>0.3*E407+0.01</f>
        <v>68644.90449999999</v>
      </c>
      <c r="M407" s="174">
        <f t="shared" si="1"/>
        <v>68644.90449999998</v>
      </c>
      <c r="O407" s="144"/>
    </row>
    <row r="408" spans="1:15" ht="23.25">
      <c r="A408" s="439" t="s">
        <v>89</v>
      </c>
      <c r="B408" s="440" t="s">
        <v>635</v>
      </c>
      <c r="C408" s="441">
        <f t="shared" si="79"/>
        <v>0.05</v>
      </c>
      <c r="D408" s="451"/>
      <c r="E408" s="452">
        <v>381360.525</v>
      </c>
      <c r="F408" s="453"/>
      <c r="G408" s="454">
        <f t="shared" si="70"/>
        <v>1.0000000065554764</v>
      </c>
      <c r="H408" s="452">
        <f t="shared" si="77"/>
        <v>381360.52749999997</v>
      </c>
      <c r="I408" s="452">
        <v>266952.37</v>
      </c>
      <c r="J408" s="455">
        <f t="shared" si="38"/>
        <v>0.3</v>
      </c>
      <c r="K408" s="289">
        <f>0.3*E408</f>
        <v>114408.1575</v>
      </c>
      <c r="M408" s="174">
        <f t="shared" si="1"/>
        <v>114408.15749999997</v>
      </c>
      <c r="O408" s="144"/>
    </row>
    <row r="409" spans="1:15" ht="43.5">
      <c r="A409" s="323">
        <v>2</v>
      </c>
      <c r="B409" s="324" t="s">
        <v>830</v>
      </c>
      <c r="C409" s="363">
        <v>0.06</v>
      </c>
      <c r="D409" s="326">
        <v>502893</v>
      </c>
      <c r="E409" s="329">
        <f>$E$399*C409</f>
        <v>502893</v>
      </c>
      <c r="F409" s="327"/>
      <c r="G409" s="364">
        <f t="shared" si="70"/>
        <v>0.9759752472195875</v>
      </c>
      <c r="H409" s="329">
        <f>+H410+H413+H419+H426</f>
        <v>490811.12</v>
      </c>
      <c r="I409" s="329">
        <f>+I410+I413+I419+I426</f>
        <v>412511.12</v>
      </c>
      <c r="J409" s="328">
        <f t="shared" si="38"/>
        <v>0.15569912486353957</v>
      </c>
      <c r="K409" s="330">
        <f>SUM(K410,K413,K419,K426)</f>
        <v>78300</v>
      </c>
      <c r="M409" s="174">
        <f t="shared" si="1"/>
        <v>78300</v>
      </c>
      <c r="O409" s="144"/>
    </row>
    <row r="410" spans="1:256" ht="23.25">
      <c r="A410" s="243" t="s">
        <v>62</v>
      </c>
      <c r="B410" s="244" t="s">
        <v>637</v>
      </c>
      <c r="C410" s="456">
        <v>0.44</v>
      </c>
      <c r="D410" s="246">
        <v>201157.2</v>
      </c>
      <c r="E410" s="249">
        <f>$E$409*C410</f>
        <v>221272.92</v>
      </c>
      <c r="F410" s="307"/>
      <c r="G410" s="248">
        <f t="shared" si="70"/>
        <v>0.945398289135426</v>
      </c>
      <c r="H410" s="249">
        <f aca="true" t="shared" si="80" ref="H410:H426">+I410+K410</f>
        <v>209191.04</v>
      </c>
      <c r="I410" s="249">
        <f>+I411+I412</f>
        <v>154891.04</v>
      </c>
      <c r="J410" s="248">
        <f t="shared" si="38"/>
        <v>0.2453983072126494</v>
      </c>
      <c r="K410" s="250">
        <f>SUM(K411:K412)</f>
        <v>54300</v>
      </c>
      <c r="M410" s="174">
        <f t="shared" si="1"/>
        <v>54300</v>
      </c>
      <c r="O410" s="144"/>
      <c r="FH410" s="304"/>
      <c r="FI410" s="304"/>
      <c r="FJ410" s="304"/>
      <c r="FK410" s="304"/>
      <c r="FL410" s="304"/>
      <c r="FM410" s="304"/>
      <c r="FN410" s="304"/>
      <c r="FO410" s="304"/>
      <c r="FP410" s="304"/>
      <c r="FQ410" s="304"/>
      <c r="FR410" s="304"/>
      <c r="FS410" s="304"/>
      <c r="FT410" s="304"/>
      <c r="FU410" s="304"/>
      <c r="FV410" s="304"/>
      <c r="FW410" s="304"/>
      <c r="FX410" s="304"/>
      <c r="FY410" s="304"/>
      <c r="FZ410" s="304"/>
      <c r="GA410" s="304"/>
      <c r="GB410" s="304"/>
      <c r="GC410" s="304"/>
      <c r="GD410" s="304"/>
      <c r="GE410" s="304"/>
      <c r="GF410" s="304"/>
      <c r="GG410" s="304"/>
      <c r="GH410" s="304"/>
      <c r="GI410" s="304"/>
      <c r="GJ410" s="304"/>
      <c r="GK410" s="304"/>
      <c r="GL410" s="304"/>
      <c r="GM410" s="304"/>
      <c r="GN410" s="304"/>
      <c r="GO410" s="304"/>
      <c r="GP410" s="304"/>
      <c r="GQ410" s="304"/>
      <c r="GR410" s="304"/>
      <c r="GS410" s="304"/>
      <c r="GT410" s="304"/>
      <c r="GU410" s="304"/>
      <c r="GV410" s="304"/>
      <c r="GW410" s="304"/>
      <c r="GX410" s="304"/>
      <c r="GY410" s="304"/>
      <c r="GZ410" s="304"/>
      <c r="HA410" s="304"/>
      <c r="HB410" s="304"/>
      <c r="HC410" s="304"/>
      <c r="HD410" s="304"/>
      <c r="HE410" s="304"/>
      <c r="HF410" s="304"/>
      <c r="HG410" s="304"/>
      <c r="HH410" s="304"/>
      <c r="HI410" s="304"/>
      <c r="HJ410" s="304"/>
      <c r="HK410" s="304"/>
      <c r="HL410" s="304"/>
      <c r="HM410" s="304"/>
      <c r="HN410" s="304"/>
      <c r="HO410" s="304"/>
      <c r="HP410" s="304"/>
      <c r="HQ410" s="304"/>
      <c r="HR410" s="304"/>
      <c r="HS410" s="304"/>
      <c r="HT410" s="304"/>
      <c r="HU410" s="304"/>
      <c r="HV410" s="304"/>
      <c r="HW410" s="304"/>
      <c r="HX410" s="304"/>
      <c r="HY410" s="304"/>
      <c r="HZ410" s="304"/>
      <c r="IA410" s="304"/>
      <c r="IB410" s="304"/>
      <c r="IC410" s="304"/>
      <c r="ID410" s="304"/>
      <c r="IE410" s="304"/>
      <c r="IF410" s="304"/>
      <c r="IG410" s="304"/>
      <c r="IH410" s="304"/>
      <c r="II410" s="304"/>
      <c r="IJ410" s="304"/>
      <c r="IK410" s="304"/>
      <c r="IL410" s="304"/>
      <c r="IM410" s="304"/>
      <c r="IN410" s="304"/>
      <c r="IO410" s="304"/>
      <c r="IP410" s="304"/>
      <c r="IQ410" s="304"/>
      <c r="IR410" s="304"/>
      <c r="IS410" s="304"/>
      <c r="IT410" s="304"/>
      <c r="IU410" s="304"/>
      <c r="IV410" s="304"/>
    </row>
    <row r="411" spans="1:256" ht="23.25">
      <c r="A411" s="309" t="s">
        <v>408</v>
      </c>
      <c r="B411" s="294" t="s">
        <v>638</v>
      </c>
      <c r="C411" s="457">
        <f>+E411/E410</f>
        <v>0.8179943573754981</v>
      </c>
      <c r="D411" s="296"/>
      <c r="E411" s="337">
        <v>181000</v>
      </c>
      <c r="F411" s="396"/>
      <c r="G411" s="374">
        <f t="shared" si="70"/>
        <v>1</v>
      </c>
      <c r="H411" s="337">
        <f t="shared" si="80"/>
        <v>181000</v>
      </c>
      <c r="I411" s="337">
        <v>126700</v>
      </c>
      <c r="J411" s="298">
        <f t="shared" si="38"/>
        <v>0.3</v>
      </c>
      <c r="K411" s="375">
        <f>0.3*E411</f>
        <v>54300</v>
      </c>
      <c r="M411" s="174">
        <f t="shared" si="1"/>
        <v>54300</v>
      </c>
      <c r="O411" s="144"/>
      <c r="FH411" s="304"/>
      <c r="FI411" s="304"/>
      <c r="FJ411" s="304"/>
      <c r="FK411" s="304"/>
      <c r="FL411" s="304"/>
      <c r="FM411" s="304"/>
      <c r="FN411" s="304"/>
      <c r="FO411" s="304"/>
      <c r="FP411" s="304"/>
      <c r="FQ411" s="304"/>
      <c r="FR411" s="304"/>
      <c r="FS411" s="304"/>
      <c r="FT411" s="304"/>
      <c r="FU411" s="304"/>
      <c r="FV411" s="304"/>
      <c r="FW411" s="304"/>
      <c r="FX411" s="304"/>
      <c r="FY411" s="304"/>
      <c r="FZ411" s="304"/>
      <c r="GA411" s="304"/>
      <c r="GB411" s="304"/>
      <c r="GC411" s="304"/>
      <c r="GD411" s="304"/>
      <c r="GE411" s="304"/>
      <c r="GF411" s="304"/>
      <c r="GG411" s="304"/>
      <c r="GH411" s="304"/>
      <c r="GI411" s="304"/>
      <c r="GJ411" s="304"/>
      <c r="GK411" s="304"/>
      <c r="GL411" s="304"/>
      <c r="GM411" s="304"/>
      <c r="GN411" s="304"/>
      <c r="GO411" s="304"/>
      <c r="GP411" s="304"/>
      <c r="GQ411" s="304"/>
      <c r="GR411" s="304"/>
      <c r="GS411" s="304"/>
      <c r="GT411" s="304"/>
      <c r="GU411" s="304"/>
      <c r="GV411" s="304"/>
      <c r="GW411" s="304"/>
      <c r="GX411" s="304"/>
      <c r="GY411" s="304"/>
      <c r="GZ411" s="304"/>
      <c r="HA411" s="304"/>
      <c r="HB411" s="304"/>
      <c r="HC411" s="304"/>
      <c r="HD411" s="304"/>
      <c r="HE411" s="304"/>
      <c r="HF411" s="304"/>
      <c r="HG411" s="304"/>
      <c r="HH411" s="304"/>
      <c r="HI411" s="304"/>
      <c r="HJ411" s="304"/>
      <c r="HK411" s="304"/>
      <c r="HL411" s="304"/>
      <c r="HM411" s="304"/>
      <c r="HN411" s="304"/>
      <c r="HO411" s="304"/>
      <c r="HP411" s="304"/>
      <c r="HQ411" s="304"/>
      <c r="HR411" s="304"/>
      <c r="HS411" s="304"/>
      <c r="HT411" s="304"/>
      <c r="HU411" s="304"/>
      <c r="HV411" s="304"/>
      <c r="HW411" s="304"/>
      <c r="HX411" s="304"/>
      <c r="HY411" s="304"/>
      <c r="HZ411" s="304"/>
      <c r="IA411" s="304"/>
      <c r="IB411" s="304"/>
      <c r="IC411" s="304"/>
      <c r="ID411" s="304"/>
      <c r="IE411" s="304"/>
      <c r="IF411" s="304"/>
      <c r="IG411" s="304"/>
      <c r="IH411" s="304"/>
      <c r="II411" s="304"/>
      <c r="IJ411" s="304"/>
      <c r="IK411" s="304"/>
      <c r="IL411" s="304"/>
      <c r="IM411" s="304"/>
      <c r="IN411" s="304"/>
      <c r="IO411" s="304"/>
      <c r="IP411" s="304"/>
      <c r="IQ411" s="304"/>
      <c r="IR411" s="304"/>
      <c r="IS411" s="304"/>
      <c r="IT411" s="304"/>
      <c r="IU411" s="304"/>
      <c r="IV411" s="304"/>
    </row>
    <row r="412" spans="1:256" ht="43.5">
      <c r="A412" s="309" t="s">
        <v>410</v>
      </c>
      <c r="B412" s="294" t="s">
        <v>639</v>
      </c>
      <c r="C412" s="457">
        <f>+E412/E410</f>
        <v>0.1820056426245019</v>
      </c>
      <c r="D412" s="296"/>
      <c r="E412" s="337">
        <v>40272.92</v>
      </c>
      <c r="F412" s="396"/>
      <c r="G412" s="374">
        <f t="shared" si="70"/>
        <v>0.6999999006776763</v>
      </c>
      <c r="H412" s="337">
        <f t="shared" si="80"/>
        <v>28191.04</v>
      </c>
      <c r="I412" s="337">
        <v>28191.04</v>
      </c>
      <c r="J412" s="298">
        <f t="shared" si="38"/>
        <v>0</v>
      </c>
      <c r="K412" s="375">
        <v>0</v>
      </c>
      <c r="M412" s="174">
        <f t="shared" si="1"/>
        <v>0</v>
      </c>
      <c r="O412" s="144"/>
      <c r="FH412" s="304"/>
      <c r="FI412" s="304"/>
      <c r="FJ412" s="304"/>
      <c r="FK412" s="304"/>
      <c r="FL412" s="304"/>
      <c r="FM412" s="304"/>
      <c r="FN412" s="304"/>
      <c r="FO412" s="304"/>
      <c r="FP412" s="304"/>
      <c r="FQ412" s="304"/>
      <c r="FR412" s="304"/>
      <c r="FS412" s="304"/>
      <c r="FT412" s="304"/>
      <c r="FU412" s="304"/>
      <c r="FV412" s="304"/>
      <c r="FW412" s="304"/>
      <c r="FX412" s="304"/>
      <c r="FY412" s="304"/>
      <c r="FZ412" s="304"/>
      <c r="GA412" s="304"/>
      <c r="GB412" s="304"/>
      <c r="GC412" s="304"/>
      <c r="GD412" s="304"/>
      <c r="GE412" s="304"/>
      <c r="GF412" s="304"/>
      <c r="GG412" s="304"/>
      <c r="GH412" s="304"/>
      <c r="GI412" s="304"/>
      <c r="GJ412" s="304"/>
      <c r="GK412" s="304"/>
      <c r="GL412" s="304"/>
      <c r="GM412" s="304"/>
      <c r="GN412" s="304"/>
      <c r="GO412" s="304"/>
      <c r="GP412" s="304"/>
      <c r="GQ412" s="304"/>
      <c r="GR412" s="304"/>
      <c r="GS412" s="304"/>
      <c r="GT412" s="304"/>
      <c r="GU412" s="304"/>
      <c r="GV412" s="304"/>
      <c r="GW412" s="304"/>
      <c r="GX412" s="304"/>
      <c r="GY412" s="304"/>
      <c r="GZ412" s="304"/>
      <c r="HA412" s="304"/>
      <c r="HB412" s="304"/>
      <c r="HC412" s="304"/>
      <c r="HD412" s="304"/>
      <c r="HE412" s="304"/>
      <c r="HF412" s="304"/>
      <c r="HG412" s="304"/>
      <c r="HH412" s="304"/>
      <c r="HI412" s="304"/>
      <c r="HJ412" s="304"/>
      <c r="HK412" s="304"/>
      <c r="HL412" s="304"/>
      <c r="HM412" s="304"/>
      <c r="HN412" s="304"/>
      <c r="HO412" s="304"/>
      <c r="HP412" s="304"/>
      <c r="HQ412" s="304"/>
      <c r="HR412" s="304"/>
      <c r="HS412" s="304"/>
      <c r="HT412" s="304"/>
      <c r="HU412" s="304"/>
      <c r="HV412" s="304"/>
      <c r="HW412" s="304"/>
      <c r="HX412" s="304"/>
      <c r="HY412" s="304"/>
      <c r="HZ412" s="304"/>
      <c r="IA412" s="304"/>
      <c r="IB412" s="304"/>
      <c r="IC412" s="304"/>
      <c r="ID412" s="304"/>
      <c r="IE412" s="304"/>
      <c r="IF412" s="304"/>
      <c r="IG412" s="304"/>
      <c r="IH412" s="304"/>
      <c r="II412" s="304"/>
      <c r="IJ412" s="304"/>
      <c r="IK412" s="304"/>
      <c r="IL412" s="304"/>
      <c r="IM412" s="304"/>
      <c r="IN412" s="304"/>
      <c r="IO412" s="304"/>
      <c r="IP412" s="304"/>
      <c r="IQ412" s="304"/>
      <c r="IR412" s="304"/>
      <c r="IS412" s="304"/>
      <c r="IT412" s="304"/>
      <c r="IU412" s="304"/>
      <c r="IV412" s="304"/>
    </row>
    <row r="413" spans="1:256" ht="23.25">
      <c r="A413" s="259" t="s">
        <v>64</v>
      </c>
      <c r="B413" s="260" t="s">
        <v>831</v>
      </c>
      <c r="C413" s="458">
        <f>+E413/E409</f>
        <v>0.21797893388852102</v>
      </c>
      <c r="D413" s="254">
        <v>176012.55</v>
      </c>
      <c r="E413" s="257">
        <f>+E414+E415</f>
        <v>109620.08</v>
      </c>
      <c r="F413" s="263"/>
      <c r="G413" s="256">
        <f t="shared" si="70"/>
        <v>1</v>
      </c>
      <c r="H413" s="257">
        <f t="shared" si="80"/>
        <v>109620.08</v>
      </c>
      <c r="I413" s="257">
        <f>+I414+I415</f>
        <v>109620.08</v>
      </c>
      <c r="J413" s="264">
        <f t="shared" si="38"/>
        <v>0</v>
      </c>
      <c r="K413" s="258">
        <f>SUM(K414:K415)</f>
        <v>0</v>
      </c>
      <c r="M413" s="174">
        <f t="shared" si="1"/>
        <v>0</v>
      </c>
      <c r="O413" s="144"/>
      <c r="FH413" s="304"/>
      <c r="FI413" s="304"/>
      <c r="FJ413" s="304"/>
      <c r="FK413" s="304"/>
      <c r="FL413" s="304"/>
      <c r="FM413" s="304"/>
      <c r="FN413" s="304"/>
      <c r="FO413" s="304"/>
      <c r="FP413" s="304"/>
      <c r="FQ413" s="304"/>
      <c r="FR413" s="304"/>
      <c r="FS413" s="304"/>
      <c r="FT413" s="304"/>
      <c r="FU413" s="304"/>
      <c r="FV413" s="304"/>
      <c r="FW413" s="304"/>
      <c r="FX413" s="304"/>
      <c r="FY413" s="304"/>
      <c r="FZ413" s="304"/>
      <c r="GA413" s="304"/>
      <c r="GB413" s="304"/>
      <c r="GC413" s="304"/>
      <c r="GD413" s="304"/>
      <c r="GE413" s="304"/>
      <c r="GF413" s="304"/>
      <c r="GG413" s="304"/>
      <c r="GH413" s="304"/>
      <c r="GI413" s="304"/>
      <c r="GJ413" s="304"/>
      <c r="GK413" s="304"/>
      <c r="GL413" s="304"/>
      <c r="GM413" s="304"/>
      <c r="GN413" s="304"/>
      <c r="GO413" s="304"/>
      <c r="GP413" s="304"/>
      <c r="GQ413" s="304"/>
      <c r="GR413" s="304"/>
      <c r="GS413" s="304"/>
      <c r="GT413" s="304"/>
      <c r="GU413" s="304"/>
      <c r="GV413" s="304"/>
      <c r="GW413" s="304"/>
      <c r="GX413" s="304"/>
      <c r="GY413" s="304"/>
      <c r="GZ413" s="304"/>
      <c r="HA413" s="304"/>
      <c r="HB413" s="304"/>
      <c r="HC413" s="304"/>
      <c r="HD413" s="304"/>
      <c r="HE413" s="304"/>
      <c r="HF413" s="304"/>
      <c r="HG413" s="304"/>
      <c r="HH413" s="304"/>
      <c r="HI413" s="304"/>
      <c r="HJ413" s="304"/>
      <c r="HK413" s="304"/>
      <c r="HL413" s="304"/>
      <c r="HM413" s="304"/>
      <c r="HN413" s="304"/>
      <c r="HO413" s="304"/>
      <c r="HP413" s="304"/>
      <c r="HQ413" s="304"/>
      <c r="HR413" s="304"/>
      <c r="HS413" s="304"/>
      <c r="HT413" s="304"/>
      <c r="HU413" s="304"/>
      <c r="HV413" s="304"/>
      <c r="HW413" s="304"/>
      <c r="HX413" s="304"/>
      <c r="HY413" s="304"/>
      <c r="HZ413" s="304"/>
      <c r="IA413" s="304"/>
      <c r="IB413" s="304"/>
      <c r="IC413" s="304"/>
      <c r="ID413" s="304"/>
      <c r="IE413" s="304"/>
      <c r="IF413" s="304"/>
      <c r="IG413" s="304"/>
      <c r="IH413" s="304"/>
      <c r="II413" s="304"/>
      <c r="IJ413" s="304"/>
      <c r="IK413" s="304"/>
      <c r="IL413" s="304"/>
      <c r="IM413" s="304"/>
      <c r="IN413" s="304"/>
      <c r="IO413" s="304"/>
      <c r="IP413" s="304"/>
      <c r="IQ413" s="304"/>
      <c r="IR413" s="304"/>
      <c r="IS413" s="304"/>
      <c r="IT413" s="304"/>
      <c r="IU413" s="304"/>
      <c r="IV413" s="304"/>
    </row>
    <row r="414" spans="1:256" ht="23.25">
      <c r="A414" s="360" t="s">
        <v>132</v>
      </c>
      <c r="B414" s="333" t="s">
        <v>641</v>
      </c>
      <c r="C414" s="459">
        <f>+E414/E413</f>
        <v>0.06039112542154686</v>
      </c>
      <c r="D414" s="310"/>
      <c r="E414" s="299">
        <v>6620.08</v>
      </c>
      <c r="F414" s="351"/>
      <c r="G414" s="298">
        <f t="shared" si="70"/>
        <v>1</v>
      </c>
      <c r="H414" s="299">
        <f t="shared" si="80"/>
        <v>6620.08</v>
      </c>
      <c r="I414" s="299">
        <v>6620.08</v>
      </c>
      <c r="J414" s="320">
        <f t="shared" si="38"/>
        <v>0</v>
      </c>
      <c r="K414" s="300">
        <v>0</v>
      </c>
      <c r="M414" s="174">
        <f t="shared" si="1"/>
        <v>0</v>
      </c>
      <c r="O414" s="144"/>
      <c r="FH414" s="304"/>
      <c r="FI414" s="304"/>
      <c r="FJ414" s="304"/>
      <c r="FK414" s="304"/>
      <c r="FL414" s="304"/>
      <c r="FM414" s="304"/>
      <c r="FN414" s="304"/>
      <c r="FO414" s="304"/>
      <c r="FP414" s="304"/>
      <c r="FQ414" s="304"/>
      <c r="FR414" s="304"/>
      <c r="FS414" s="304"/>
      <c r="FT414" s="304"/>
      <c r="FU414" s="304"/>
      <c r="FV414" s="304"/>
      <c r="FW414" s="304"/>
      <c r="FX414" s="304"/>
      <c r="FY414" s="304"/>
      <c r="FZ414" s="304"/>
      <c r="GA414" s="304"/>
      <c r="GB414" s="304"/>
      <c r="GC414" s="304"/>
      <c r="GD414" s="304"/>
      <c r="GE414" s="304"/>
      <c r="GF414" s="304"/>
      <c r="GG414" s="304"/>
      <c r="GH414" s="304"/>
      <c r="GI414" s="304"/>
      <c r="GJ414" s="304"/>
      <c r="GK414" s="304"/>
      <c r="GL414" s="304"/>
      <c r="GM414" s="304"/>
      <c r="GN414" s="304"/>
      <c r="GO414" s="304"/>
      <c r="GP414" s="304"/>
      <c r="GQ414" s="304"/>
      <c r="GR414" s="304"/>
      <c r="GS414" s="304"/>
      <c r="GT414" s="304"/>
      <c r="GU414" s="304"/>
      <c r="GV414" s="304"/>
      <c r="GW414" s="304"/>
      <c r="GX414" s="304"/>
      <c r="GY414" s="304"/>
      <c r="GZ414" s="304"/>
      <c r="HA414" s="304"/>
      <c r="HB414" s="304"/>
      <c r="HC414" s="304"/>
      <c r="HD414" s="304"/>
      <c r="HE414" s="304"/>
      <c r="HF414" s="304"/>
      <c r="HG414" s="304"/>
      <c r="HH414" s="304"/>
      <c r="HI414" s="304"/>
      <c r="HJ414" s="304"/>
      <c r="HK414" s="304"/>
      <c r="HL414" s="304"/>
      <c r="HM414" s="304"/>
      <c r="HN414" s="304"/>
      <c r="HO414" s="304"/>
      <c r="HP414" s="304"/>
      <c r="HQ414" s="304"/>
      <c r="HR414" s="304"/>
      <c r="HS414" s="304"/>
      <c r="HT414" s="304"/>
      <c r="HU414" s="304"/>
      <c r="HV414" s="304"/>
      <c r="HW414" s="304"/>
      <c r="HX414" s="304"/>
      <c r="HY414" s="304"/>
      <c r="HZ414" s="304"/>
      <c r="IA414" s="304"/>
      <c r="IB414" s="304"/>
      <c r="IC414" s="304"/>
      <c r="ID414" s="304"/>
      <c r="IE414" s="304"/>
      <c r="IF414" s="304"/>
      <c r="IG414" s="304"/>
      <c r="IH414" s="304"/>
      <c r="II414" s="304"/>
      <c r="IJ414" s="304"/>
      <c r="IK414" s="304"/>
      <c r="IL414" s="304"/>
      <c r="IM414" s="304"/>
      <c r="IN414" s="304"/>
      <c r="IO414" s="304"/>
      <c r="IP414" s="304"/>
      <c r="IQ414" s="304"/>
      <c r="IR414" s="304"/>
      <c r="IS414" s="304"/>
      <c r="IT414" s="304"/>
      <c r="IU414" s="304"/>
      <c r="IV414" s="304"/>
    </row>
    <row r="415" spans="1:256" ht="23.25">
      <c r="A415" s="360" t="s">
        <v>134</v>
      </c>
      <c r="B415" s="333" t="s">
        <v>642</v>
      </c>
      <c r="C415" s="459">
        <f>+E415/E413</f>
        <v>0.9396088745784531</v>
      </c>
      <c r="D415" s="310"/>
      <c r="E415" s="299">
        <f>+E416+E417+E418</f>
        <v>103000</v>
      </c>
      <c r="F415" s="351"/>
      <c r="G415" s="298">
        <f t="shared" si="70"/>
        <v>1</v>
      </c>
      <c r="H415" s="299">
        <f t="shared" si="80"/>
        <v>103000</v>
      </c>
      <c r="I415" s="299">
        <f>+I416+I417+I418</f>
        <v>103000</v>
      </c>
      <c r="J415" s="320">
        <f t="shared" si="38"/>
        <v>0</v>
      </c>
      <c r="K415" s="300">
        <f>SUM(K416:K418)</f>
        <v>0</v>
      </c>
      <c r="M415" s="174">
        <f t="shared" si="1"/>
        <v>0</v>
      </c>
      <c r="O415" s="144"/>
      <c r="FH415" s="304"/>
      <c r="FI415" s="304"/>
      <c r="FJ415" s="304"/>
      <c r="FK415" s="304"/>
      <c r="FL415" s="304"/>
      <c r="FM415" s="304"/>
      <c r="FN415" s="304"/>
      <c r="FO415" s="304"/>
      <c r="FP415" s="304"/>
      <c r="FQ415" s="304"/>
      <c r="FR415" s="304"/>
      <c r="FS415" s="304"/>
      <c r="FT415" s="304"/>
      <c r="FU415" s="304"/>
      <c r="FV415" s="304"/>
      <c r="FW415" s="304"/>
      <c r="FX415" s="304"/>
      <c r="FY415" s="304"/>
      <c r="FZ415" s="304"/>
      <c r="GA415" s="304"/>
      <c r="GB415" s="304"/>
      <c r="GC415" s="304"/>
      <c r="GD415" s="304"/>
      <c r="GE415" s="304"/>
      <c r="GF415" s="304"/>
      <c r="GG415" s="304"/>
      <c r="GH415" s="304"/>
      <c r="GI415" s="304"/>
      <c r="GJ415" s="304"/>
      <c r="GK415" s="304"/>
      <c r="GL415" s="304"/>
      <c r="GM415" s="304"/>
      <c r="GN415" s="304"/>
      <c r="GO415" s="304"/>
      <c r="GP415" s="304"/>
      <c r="GQ415" s="304"/>
      <c r="GR415" s="304"/>
      <c r="GS415" s="304"/>
      <c r="GT415" s="304"/>
      <c r="GU415" s="304"/>
      <c r="GV415" s="304"/>
      <c r="GW415" s="304"/>
      <c r="GX415" s="304"/>
      <c r="GY415" s="304"/>
      <c r="GZ415" s="304"/>
      <c r="HA415" s="304"/>
      <c r="HB415" s="304"/>
      <c r="HC415" s="304"/>
      <c r="HD415" s="304"/>
      <c r="HE415" s="304"/>
      <c r="HF415" s="304"/>
      <c r="HG415" s="304"/>
      <c r="HH415" s="304"/>
      <c r="HI415" s="304"/>
      <c r="HJ415" s="304"/>
      <c r="HK415" s="304"/>
      <c r="HL415" s="304"/>
      <c r="HM415" s="304"/>
      <c r="HN415" s="304"/>
      <c r="HO415" s="304"/>
      <c r="HP415" s="304"/>
      <c r="HQ415" s="304"/>
      <c r="HR415" s="304"/>
      <c r="HS415" s="304"/>
      <c r="HT415" s="304"/>
      <c r="HU415" s="304"/>
      <c r="HV415" s="304"/>
      <c r="HW415" s="304"/>
      <c r="HX415" s="304"/>
      <c r="HY415" s="304"/>
      <c r="HZ415" s="304"/>
      <c r="IA415" s="304"/>
      <c r="IB415" s="304"/>
      <c r="IC415" s="304"/>
      <c r="ID415" s="304"/>
      <c r="IE415" s="304"/>
      <c r="IF415" s="304"/>
      <c r="IG415" s="304"/>
      <c r="IH415" s="304"/>
      <c r="II415" s="304"/>
      <c r="IJ415" s="304"/>
      <c r="IK415" s="304"/>
      <c r="IL415" s="304"/>
      <c r="IM415" s="304"/>
      <c r="IN415" s="304"/>
      <c r="IO415" s="304"/>
      <c r="IP415" s="304"/>
      <c r="IQ415" s="304"/>
      <c r="IR415" s="304"/>
      <c r="IS415" s="304"/>
      <c r="IT415" s="304"/>
      <c r="IU415" s="304"/>
      <c r="IV415" s="304"/>
    </row>
    <row r="416" spans="1:256" ht="23.25">
      <c r="A416" s="460" t="s">
        <v>529</v>
      </c>
      <c r="B416" s="340" t="s">
        <v>643</v>
      </c>
      <c r="C416" s="461">
        <f>+E416/E415</f>
        <v>0.07766990291262135</v>
      </c>
      <c r="D416" s="356"/>
      <c r="E416" s="343">
        <v>8000</v>
      </c>
      <c r="F416" s="462"/>
      <c r="G416" s="376">
        <f t="shared" si="70"/>
        <v>1</v>
      </c>
      <c r="H416" s="343">
        <f t="shared" si="80"/>
        <v>8000</v>
      </c>
      <c r="I416" s="343">
        <v>8000</v>
      </c>
      <c r="J416" s="357">
        <f t="shared" si="38"/>
        <v>0</v>
      </c>
      <c r="K416" s="348">
        <v>0</v>
      </c>
      <c r="M416" s="174">
        <f t="shared" si="1"/>
        <v>0</v>
      </c>
      <c r="O416" s="144"/>
      <c r="FH416" s="304"/>
      <c r="FI416" s="304"/>
      <c r="FJ416" s="304"/>
      <c r="FK416" s="304"/>
      <c r="FL416" s="304"/>
      <c r="FM416" s="304"/>
      <c r="FN416" s="304"/>
      <c r="FO416" s="304"/>
      <c r="FP416" s="304"/>
      <c r="FQ416" s="304"/>
      <c r="FR416" s="304"/>
      <c r="FS416" s="304"/>
      <c r="FT416" s="304"/>
      <c r="FU416" s="304"/>
      <c r="FV416" s="304"/>
      <c r="FW416" s="304"/>
      <c r="FX416" s="304"/>
      <c r="FY416" s="304"/>
      <c r="FZ416" s="304"/>
      <c r="GA416" s="304"/>
      <c r="GB416" s="304"/>
      <c r="GC416" s="304"/>
      <c r="GD416" s="304"/>
      <c r="GE416" s="304"/>
      <c r="GF416" s="304"/>
      <c r="GG416" s="304"/>
      <c r="GH416" s="304"/>
      <c r="GI416" s="304"/>
      <c r="GJ416" s="304"/>
      <c r="GK416" s="304"/>
      <c r="GL416" s="304"/>
      <c r="GM416" s="304"/>
      <c r="GN416" s="304"/>
      <c r="GO416" s="304"/>
      <c r="GP416" s="304"/>
      <c r="GQ416" s="304"/>
      <c r="GR416" s="304"/>
      <c r="GS416" s="304"/>
      <c r="GT416" s="304"/>
      <c r="GU416" s="304"/>
      <c r="GV416" s="304"/>
      <c r="GW416" s="304"/>
      <c r="GX416" s="304"/>
      <c r="GY416" s="304"/>
      <c r="GZ416" s="304"/>
      <c r="HA416" s="304"/>
      <c r="HB416" s="304"/>
      <c r="HC416" s="304"/>
      <c r="HD416" s="304"/>
      <c r="HE416" s="304"/>
      <c r="HF416" s="304"/>
      <c r="HG416" s="304"/>
      <c r="HH416" s="304"/>
      <c r="HI416" s="304"/>
      <c r="HJ416" s="304"/>
      <c r="HK416" s="304"/>
      <c r="HL416" s="304"/>
      <c r="HM416" s="304"/>
      <c r="HN416" s="304"/>
      <c r="HO416" s="304"/>
      <c r="HP416" s="304"/>
      <c r="HQ416" s="304"/>
      <c r="HR416" s="304"/>
      <c r="HS416" s="304"/>
      <c r="HT416" s="304"/>
      <c r="HU416" s="304"/>
      <c r="HV416" s="304"/>
      <c r="HW416" s="304"/>
      <c r="HX416" s="304"/>
      <c r="HY416" s="304"/>
      <c r="HZ416" s="304"/>
      <c r="IA416" s="304"/>
      <c r="IB416" s="304"/>
      <c r="IC416" s="304"/>
      <c r="ID416" s="304"/>
      <c r="IE416" s="304"/>
      <c r="IF416" s="304"/>
      <c r="IG416" s="304"/>
      <c r="IH416" s="304"/>
      <c r="II416" s="304"/>
      <c r="IJ416" s="304"/>
      <c r="IK416" s="304"/>
      <c r="IL416" s="304"/>
      <c r="IM416" s="304"/>
      <c r="IN416" s="304"/>
      <c r="IO416" s="304"/>
      <c r="IP416" s="304"/>
      <c r="IQ416" s="304"/>
      <c r="IR416" s="304"/>
      <c r="IS416" s="304"/>
      <c r="IT416" s="304"/>
      <c r="IU416" s="304"/>
      <c r="IV416" s="304"/>
    </row>
    <row r="417" spans="1:256" ht="23.25">
      <c r="A417" s="460" t="s">
        <v>530</v>
      </c>
      <c r="B417" s="340" t="s">
        <v>644</v>
      </c>
      <c r="C417" s="461">
        <f>+E417/E415</f>
        <v>0.33980582524271846</v>
      </c>
      <c r="D417" s="356"/>
      <c r="E417" s="343">
        <v>35000</v>
      </c>
      <c r="F417" s="462"/>
      <c r="G417" s="376">
        <f t="shared" si="70"/>
        <v>1</v>
      </c>
      <c r="H417" s="343">
        <f t="shared" si="80"/>
        <v>35000</v>
      </c>
      <c r="I417" s="343">
        <v>35000</v>
      </c>
      <c r="J417" s="357">
        <f t="shared" si="38"/>
        <v>0</v>
      </c>
      <c r="K417" s="348">
        <v>0</v>
      </c>
      <c r="M417" s="174">
        <f t="shared" si="1"/>
        <v>0</v>
      </c>
      <c r="O417" s="144"/>
      <c r="P417" s="174"/>
      <c r="Q417" s="463"/>
      <c r="FH417" s="304"/>
      <c r="FI417" s="304"/>
      <c r="FJ417" s="304"/>
      <c r="FK417" s="304"/>
      <c r="FL417" s="304"/>
      <c r="FM417" s="304"/>
      <c r="FN417" s="304"/>
      <c r="FO417" s="304"/>
      <c r="FP417" s="304"/>
      <c r="FQ417" s="304"/>
      <c r="FR417" s="304"/>
      <c r="FS417" s="304"/>
      <c r="FT417" s="304"/>
      <c r="FU417" s="304"/>
      <c r="FV417" s="304"/>
      <c r="FW417" s="304"/>
      <c r="FX417" s="304"/>
      <c r="FY417" s="304"/>
      <c r="FZ417" s="304"/>
      <c r="GA417" s="304"/>
      <c r="GB417" s="304"/>
      <c r="GC417" s="304"/>
      <c r="GD417" s="304"/>
      <c r="GE417" s="304"/>
      <c r="GF417" s="304"/>
      <c r="GG417" s="304"/>
      <c r="GH417" s="304"/>
      <c r="GI417" s="304"/>
      <c r="GJ417" s="304"/>
      <c r="GK417" s="304"/>
      <c r="GL417" s="304"/>
      <c r="GM417" s="304"/>
      <c r="GN417" s="304"/>
      <c r="GO417" s="304"/>
      <c r="GP417" s="304"/>
      <c r="GQ417" s="304"/>
      <c r="GR417" s="304"/>
      <c r="GS417" s="304"/>
      <c r="GT417" s="304"/>
      <c r="GU417" s="304"/>
      <c r="GV417" s="304"/>
      <c r="GW417" s="304"/>
      <c r="GX417" s="304"/>
      <c r="GY417" s="304"/>
      <c r="GZ417" s="304"/>
      <c r="HA417" s="304"/>
      <c r="HB417" s="304"/>
      <c r="HC417" s="304"/>
      <c r="HD417" s="304"/>
      <c r="HE417" s="304"/>
      <c r="HF417" s="304"/>
      <c r="HG417" s="304"/>
      <c r="HH417" s="304"/>
      <c r="HI417" s="304"/>
      <c r="HJ417" s="304"/>
      <c r="HK417" s="304"/>
      <c r="HL417" s="304"/>
      <c r="HM417" s="304"/>
      <c r="HN417" s="304"/>
      <c r="HO417" s="304"/>
      <c r="HP417" s="304"/>
      <c r="HQ417" s="304"/>
      <c r="HR417" s="304"/>
      <c r="HS417" s="304"/>
      <c r="HT417" s="304"/>
      <c r="HU417" s="304"/>
      <c r="HV417" s="304"/>
      <c r="HW417" s="304"/>
      <c r="HX417" s="304"/>
      <c r="HY417" s="304"/>
      <c r="HZ417" s="304"/>
      <c r="IA417" s="304"/>
      <c r="IB417" s="304"/>
      <c r="IC417" s="304"/>
      <c r="ID417" s="304"/>
      <c r="IE417" s="304"/>
      <c r="IF417" s="304"/>
      <c r="IG417" s="304"/>
      <c r="IH417" s="304"/>
      <c r="II417" s="304"/>
      <c r="IJ417" s="304"/>
      <c r="IK417" s="304"/>
      <c r="IL417" s="304"/>
      <c r="IM417" s="304"/>
      <c r="IN417" s="304"/>
      <c r="IO417" s="304"/>
      <c r="IP417" s="304"/>
      <c r="IQ417" s="304"/>
      <c r="IR417" s="304"/>
      <c r="IS417" s="304"/>
      <c r="IT417" s="304"/>
      <c r="IU417" s="304"/>
      <c r="IV417" s="304"/>
    </row>
    <row r="418" spans="1:256" ht="23.25">
      <c r="A418" s="460" t="s">
        <v>532</v>
      </c>
      <c r="B418" s="340" t="s">
        <v>645</v>
      </c>
      <c r="C418" s="461">
        <f>+E418/E415</f>
        <v>0.5825242718446602</v>
      </c>
      <c r="D418" s="356"/>
      <c r="E418" s="343">
        <v>60000</v>
      </c>
      <c r="F418" s="462"/>
      <c r="G418" s="376">
        <f t="shared" si="70"/>
        <v>1</v>
      </c>
      <c r="H418" s="343">
        <f t="shared" si="80"/>
        <v>60000</v>
      </c>
      <c r="I418" s="343">
        <v>60000</v>
      </c>
      <c r="J418" s="357">
        <f t="shared" si="38"/>
        <v>0</v>
      </c>
      <c r="K418" s="348">
        <v>0</v>
      </c>
      <c r="M418" s="174">
        <f t="shared" si="1"/>
        <v>0</v>
      </c>
      <c r="O418" s="144"/>
      <c r="FH418" s="304"/>
      <c r="FI418" s="304"/>
      <c r="FJ418" s="304"/>
      <c r="FK418" s="304"/>
      <c r="FL418" s="304"/>
      <c r="FM418" s="304"/>
      <c r="FN418" s="304"/>
      <c r="FO418" s="304"/>
      <c r="FP418" s="304"/>
      <c r="FQ418" s="304"/>
      <c r="FR418" s="304"/>
      <c r="FS418" s="304"/>
      <c r="FT418" s="304"/>
      <c r="FU418" s="304"/>
      <c r="FV418" s="304"/>
      <c r="FW418" s="304"/>
      <c r="FX418" s="304"/>
      <c r="FY418" s="304"/>
      <c r="FZ418" s="304"/>
      <c r="GA418" s="304"/>
      <c r="GB418" s="304"/>
      <c r="GC418" s="304"/>
      <c r="GD418" s="304"/>
      <c r="GE418" s="304"/>
      <c r="GF418" s="304"/>
      <c r="GG418" s="304"/>
      <c r="GH418" s="304"/>
      <c r="GI418" s="304"/>
      <c r="GJ418" s="304"/>
      <c r="GK418" s="304"/>
      <c r="GL418" s="304"/>
      <c r="GM418" s="304"/>
      <c r="GN418" s="304"/>
      <c r="GO418" s="304"/>
      <c r="GP418" s="304"/>
      <c r="GQ418" s="304"/>
      <c r="GR418" s="304"/>
      <c r="GS418" s="304"/>
      <c r="GT418" s="304"/>
      <c r="GU418" s="304"/>
      <c r="GV418" s="304"/>
      <c r="GW418" s="304"/>
      <c r="GX418" s="304"/>
      <c r="GY418" s="304"/>
      <c r="GZ418" s="304"/>
      <c r="HA418" s="304"/>
      <c r="HB418" s="304"/>
      <c r="HC418" s="304"/>
      <c r="HD418" s="304"/>
      <c r="HE418" s="304"/>
      <c r="HF418" s="304"/>
      <c r="HG418" s="304"/>
      <c r="HH418" s="304"/>
      <c r="HI418" s="304"/>
      <c r="HJ418" s="304"/>
      <c r="HK418" s="304"/>
      <c r="HL418" s="304"/>
      <c r="HM418" s="304"/>
      <c r="HN418" s="304"/>
      <c r="HO418" s="304"/>
      <c r="HP418" s="304"/>
      <c r="HQ418" s="304"/>
      <c r="HR418" s="304"/>
      <c r="HS418" s="304"/>
      <c r="HT418" s="304"/>
      <c r="HU418" s="304"/>
      <c r="HV418" s="304"/>
      <c r="HW418" s="304"/>
      <c r="HX418" s="304"/>
      <c r="HY418" s="304"/>
      <c r="HZ418" s="304"/>
      <c r="IA418" s="304"/>
      <c r="IB418" s="304"/>
      <c r="IC418" s="304"/>
      <c r="ID418" s="304"/>
      <c r="IE418" s="304"/>
      <c r="IF418" s="304"/>
      <c r="IG418" s="304"/>
      <c r="IH418" s="304"/>
      <c r="II418" s="304"/>
      <c r="IJ418" s="304"/>
      <c r="IK418" s="304"/>
      <c r="IL418" s="304"/>
      <c r="IM418" s="304"/>
      <c r="IN418" s="304"/>
      <c r="IO418" s="304"/>
      <c r="IP418" s="304"/>
      <c r="IQ418" s="304"/>
      <c r="IR418" s="304"/>
      <c r="IS418" s="304"/>
      <c r="IT418" s="304"/>
      <c r="IU418" s="304"/>
      <c r="IV418" s="304"/>
    </row>
    <row r="419" spans="1:256" ht="23.25">
      <c r="A419" s="259" t="s">
        <v>66</v>
      </c>
      <c r="B419" s="260" t="s">
        <v>832</v>
      </c>
      <c r="C419" s="458">
        <f>+E419/E409</f>
        <v>0.32810160411857</v>
      </c>
      <c r="D419" s="254"/>
      <c r="E419" s="257">
        <f>+E420+E421+E422+E423+E424+E425</f>
        <v>165000</v>
      </c>
      <c r="F419" s="263"/>
      <c r="G419" s="256">
        <f t="shared" si="70"/>
        <v>1</v>
      </c>
      <c r="H419" s="257">
        <f t="shared" si="80"/>
        <v>165000</v>
      </c>
      <c r="I419" s="257">
        <f>+I420+I421+I422+I423+I424+I425</f>
        <v>148000</v>
      </c>
      <c r="J419" s="264">
        <f t="shared" si="38"/>
        <v>0.10303030303030303</v>
      </c>
      <c r="K419" s="258">
        <f>SUM(K420:K425)</f>
        <v>17000</v>
      </c>
      <c r="M419" s="174">
        <f t="shared" si="1"/>
        <v>17000</v>
      </c>
      <c r="O419" s="144"/>
      <c r="FH419" s="304"/>
      <c r="FI419" s="304"/>
      <c r="FJ419" s="304"/>
      <c r="FK419" s="304"/>
      <c r="FL419" s="304"/>
      <c r="FM419" s="304"/>
      <c r="FN419" s="304"/>
      <c r="FO419" s="304"/>
      <c r="FP419" s="304"/>
      <c r="FQ419" s="304"/>
      <c r="FR419" s="304"/>
      <c r="FS419" s="304"/>
      <c r="FT419" s="304"/>
      <c r="FU419" s="304"/>
      <c r="FV419" s="304"/>
      <c r="FW419" s="304"/>
      <c r="FX419" s="304"/>
      <c r="FY419" s="304"/>
      <c r="FZ419" s="304"/>
      <c r="GA419" s="304"/>
      <c r="GB419" s="304"/>
      <c r="GC419" s="304"/>
      <c r="GD419" s="304"/>
      <c r="GE419" s="304"/>
      <c r="GF419" s="304"/>
      <c r="GG419" s="304"/>
      <c r="GH419" s="304"/>
      <c r="GI419" s="304"/>
      <c r="GJ419" s="304"/>
      <c r="GK419" s="304"/>
      <c r="GL419" s="304"/>
      <c r="GM419" s="304"/>
      <c r="GN419" s="304"/>
      <c r="GO419" s="304"/>
      <c r="GP419" s="304"/>
      <c r="GQ419" s="304"/>
      <c r="GR419" s="304"/>
      <c r="GS419" s="304"/>
      <c r="GT419" s="304"/>
      <c r="GU419" s="304"/>
      <c r="GV419" s="304"/>
      <c r="GW419" s="304"/>
      <c r="GX419" s="304"/>
      <c r="GY419" s="304"/>
      <c r="GZ419" s="304"/>
      <c r="HA419" s="304"/>
      <c r="HB419" s="304"/>
      <c r="HC419" s="304"/>
      <c r="HD419" s="304"/>
      <c r="HE419" s="304"/>
      <c r="HF419" s="304"/>
      <c r="HG419" s="304"/>
      <c r="HH419" s="304"/>
      <c r="HI419" s="304"/>
      <c r="HJ419" s="304"/>
      <c r="HK419" s="304"/>
      <c r="HL419" s="304"/>
      <c r="HM419" s="304"/>
      <c r="HN419" s="304"/>
      <c r="HO419" s="304"/>
      <c r="HP419" s="304"/>
      <c r="HQ419" s="304"/>
      <c r="HR419" s="304"/>
      <c r="HS419" s="304"/>
      <c r="HT419" s="304"/>
      <c r="HU419" s="304"/>
      <c r="HV419" s="304"/>
      <c r="HW419" s="304"/>
      <c r="HX419" s="304"/>
      <c r="HY419" s="304"/>
      <c r="HZ419" s="304"/>
      <c r="IA419" s="304"/>
      <c r="IB419" s="304"/>
      <c r="IC419" s="304"/>
      <c r="ID419" s="304"/>
      <c r="IE419" s="304"/>
      <c r="IF419" s="304"/>
      <c r="IG419" s="304"/>
      <c r="IH419" s="304"/>
      <c r="II419" s="304"/>
      <c r="IJ419" s="304"/>
      <c r="IK419" s="304"/>
      <c r="IL419" s="304"/>
      <c r="IM419" s="304"/>
      <c r="IN419" s="304"/>
      <c r="IO419" s="304"/>
      <c r="IP419" s="304"/>
      <c r="IQ419" s="304"/>
      <c r="IR419" s="304"/>
      <c r="IS419" s="304"/>
      <c r="IT419" s="304"/>
      <c r="IU419" s="304"/>
      <c r="IV419" s="304"/>
    </row>
    <row r="420" spans="1:256" ht="23.25">
      <c r="A420" s="360" t="s">
        <v>137</v>
      </c>
      <c r="B420" s="333" t="s">
        <v>647</v>
      </c>
      <c r="C420" s="459">
        <f aca="true" t="shared" si="81" ref="C420:C425">+E420/$E$419</f>
        <v>0.3939393939393939</v>
      </c>
      <c r="D420" s="310"/>
      <c r="E420" s="299">
        <v>65000</v>
      </c>
      <c r="F420" s="351"/>
      <c r="G420" s="298">
        <f t="shared" si="70"/>
        <v>1</v>
      </c>
      <c r="H420" s="299">
        <f t="shared" si="80"/>
        <v>65000</v>
      </c>
      <c r="I420" s="299">
        <v>65000</v>
      </c>
      <c r="J420" s="320">
        <f t="shared" si="38"/>
        <v>0</v>
      </c>
      <c r="K420" s="300">
        <v>0</v>
      </c>
      <c r="M420" s="174">
        <f t="shared" si="1"/>
        <v>0</v>
      </c>
      <c r="O420" s="144"/>
      <c r="FH420" s="304"/>
      <c r="FI420" s="304"/>
      <c r="FJ420" s="304"/>
      <c r="FK420" s="304"/>
      <c r="FL420" s="304"/>
      <c r="FM420" s="304"/>
      <c r="FN420" s="304"/>
      <c r="FO420" s="304"/>
      <c r="FP420" s="304"/>
      <c r="FQ420" s="304"/>
      <c r="FR420" s="304"/>
      <c r="FS420" s="304"/>
      <c r="FT420" s="304"/>
      <c r="FU420" s="304"/>
      <c r="FV420" s="304"/>
      <c r="FW420" s="304"/>
      <c r="FX420" s="304"/>
      <c r="FY420" s="304"/>
      <c r="FZ420" s="304"/>
      <c r="GA420" s="304"/>
      <c r="GB420" s="304"/>
      <c r="GC420" s="304"/>
      <c r="GD420" s="304"/>
      <c r="GE420" s="304"/>
      <c r="GF420" s="304"/>
      <c r="GG420" s="304"/>
      <c r="GH420" s="304"/>
      <c r="GI420" s="304"/>
      <c r="GJ420" s="304"/>
      <c r="GK420" s="304"/>
      <c r="GL420" s="304"/>
      <c r="GM420" s="304"/>
      <c r="GN420" s="304"/>
      <c r="GO420" s="304"/>
      <c r="GP420" s="304"/>
      <c r="GQ420" s="304"/>
      <c r="GR420" s="304"/>
      <c r="GS420" s="304"/>
      <c r="GT420" s="304"/>
      <c r="GU420" s="304"/>
      <c r="GV420" s="304"/>
      <c r="GW420" s="304"/>
      <c r="GX420" s="304"/>
      <c r="GY420" s="304"/>
      <c r="GZ420" s="304"/>
      <c r="HA420" s="304"/>
      <c r="HB420" s="304"/>
      <c r="HC420" s="304"/>
      <c r="HD420" s="304"/>
      <c r="HE420" s="304"/>
      <c r="HF420" s="304"/>
      <c r="HG420" s="304"/>
      <c r="HH420" s="304"/>
      <c r="HI420" s="304"/>
      <c r="HJ420" s="304"/>
      <c r="HK420" s="304"/>
      <c r="HL420" s="304"/>
      <c r="HM420" s="304"/>
      <c r="HN420" s="304"/>
      <c r="HO420" s="304"/>
      <c r="HP420" s="304"/>
      <c r="HQ420" s="304"/>
      <c r="HR420" s="304"/>
      <c r="HS420" s="304"/>
      <c r="HT420" s="304"/>
      <c r="HU420" s="304"/>
      <c r="HV420" s="304"/>
      <c r="HW420" s="304"/>
      <c r="HX420" s="304"/>
      <c r="HY420" s="304"/>
      <c r="HZ420" s="304"/>
      <c r="IA420" s="304"/>
      <c r="IB420" s="304"/>
      <c r="IC420" s="304"/>
      <c r="ID420" s="304"/>
      <c r="IE420" s="304"/>
      <c r="IF420" s="304"/>
      <c r="IG420" s="304"/>
      <c r="IH420" s="304"/>
      <c r="II420" s="304"/>
      <c r="IJ420" s="304"/>
      <c r="IK420" s="304"/>
      <c r="IL420" s="304"/>
      <c r="IM420" s="304"/>
      <c r="IN420" s="304"/>
      <c r="IO420" s="304"/>
      <c r="IP420" s="304"/>
      <c r="IQ420" s="304"/>
      <c r="IR420" s="304"/>
      <c r="IS420" s="304"/>
      <c r="IT420" s="304"/>
      <c r="IU420" s="304"/>
      <c r="IV420" s="304"/>
    </row>
    <row r="421" spans="1:256" ht="23.25">
      <c r="A421" s="360" t="s">
        <v>139</v>
      </c>
      <c r="B421" s="333" t="s">
        <v>648</v>
      </c>
      <c r="C421" s="459">
        <f t="shared" si="81"/>
        <v>0.18181818181818182</v>
      </c>
      <c r="D421" s="310"/>
      <c r="E421" s="299">
        <v>30000</v>
      </c>
      <c r="F421" s="351"/>
      <c r="G421" s="298">
        <f t="shared" si="70"/>
        <v>1</v>
      </c>
      <c r="H421" s="299">
        <f t="shared" si="80"/>
        <v>30000</v>
      </c>
      <c r="I421" s="299">
        <v>30000</v>
      </c>
      <c r="J421" s="320">
        <f t="shared" si="38"/>
        <v>0</v>
      </c>
      <c r="K421" s="300">
        <v>0</v>
      </c>
      <c r="M421" s="174">
        <f t="shared" si="1"/>
        <v>0</v>
      </c>
      <c r="O421" s="144"/>
      <c r="FH421" s="304"/>
      <c r="FI421" s="304"/>
      <c r="FJ421" s="304"/>
      <c r="FK421" s="304"/>
      <c r="FL421" s="304"/>
      <c r="FM421" s="304"/>
      <c r="FN421" s="304"/>
      <c r="FO421" s="304"/>
      <c r="FP421" s="304"/>
      <c r="FQ421" s="304"/>
      <c r="FR421" s="304"/>
      <c r="FS421" s="304"/>
      <c r="FT421" s="304"/>
      <c r="FU421" s="304"/>
      <c r="FV421" s="304"/>
      <c r="FW421" s="304"/>
      <c r="FX421" s="304"/>
      <c r="FY421" s="304"/>
      <c r="FZ421" s="304"/>
      <c r="GA421" s="304"/>
      <c r="GB421" s="304"/>
      <c r="GC421" s="304"/>
      <c r="GD421" s="304"/>
      <c r="GE421" s="304"/>
      <c r="GF421" s="304"/>
      <c r="GG421" s="304"/>
      <c r="GH421" s="304"/>
      <c r="GI421" s="304"/>
      <c r="GJ421" s="304"/>
      <c r="GK421" s="304"/>
      <c r="GL421" s="304"/>
      <c r="GM421" s="304"/>
      <c r="GN421" s="304"/>
      <c r="GO421" s="304"/>
      <c r="GP421" s="304"/>
      <c r="GQ421" s="304"/>
      <c r="GR421" s="304"/>
      <c r="GS421" s="304"/>
      <c r="GT421" s="304"/>
      <c r="GU421" s="304"/>
      <c r="GV421" s="304"/>
      <c r="GW421" s="304"/>
      <c r="GX421" s="304"/>
      <c r="GY421" s="304"/>
      <c r="GZ421" s="304"/>
      <c r="HA421" s="304"/>
      <c r="HB421" s="304"/>
      <c r="HC421" s="304"/>
      <c r="HD421" s="304"/>
      <c r="HE421" s="304"/>
      <c r="HF421" s="304"/>
      <c r="HG421" s="304"/>
      <c r="HH421" s="304"/>
      <c r="HI421" s="304"/>
      <c r="HJ421" s="304"/>
      <c r="HK421" s="304"/>
      <c r="HL421" s="304"/>
      <c r="HM421" s="304"/>
      <c r="HN421" s="304"/>
      <c r="HO421" s="304"/>
      <c r="HP421" s="304"/>
      <c r="HQ421" s="304"/>
      <c r="HR421" s="304"/>
      <c r="HS421" s="304"/>
      <c r="HT421" s="304"/>
      <c r="HU421" s="304"/>
      <c r="HV421" s="304"/>
      <c r="HW421" s="304"/>
      <c r="HX421" s="304"/>
      <c r="HY421" s="304"/>
      <c r="HZ421" s="304"/>
      <c r="IA421" s="304"/>
      <c r="IB421" s="304"/>
      <c r="IC421" s="304"/>
      <c r="ID421" s="304"/>
      <c r="IE421" s="304"/>
      <c r="IF421" s="304"/>
      <c r="IG421" s="304"/>
      <c r="IH421" s="304"/>
      <c r="II421" s="304"/>
      <c r="IJ421" s="304"/>
      <c r="IK421" s="304"/>
      <c r="IL421" s="304"/>
      <c r="IM421" s="304"/>
      <c r="IN421" s="304"/>
      <c r="IO421" s="304"/>
      <c r="IP421" s="304"/>
      <c r="IQ421" s="304"/>
      <c r="IR421" s="304"/>
      <c r="IS421" s="304"/>
      <c r="IT421" s="304"/>
      <c r="IU421" s="304"/>
      <c r="IV421" s="304"/>
    </row>
    <row r="422" spans="1:256" ht="23.25">
      <c r="A422" s="360" t="s">
        <v>422</v>
      </c>
      <c r="B422" s="333" t="s">
        <v>649</v>
      </c>
      <c r="C422" s="459">
        <f t="shared" si="81"/>
        <v>0.2727272727272727</v>
      </c>
      <c r="D422" s="310"/>
      <c r="E422" s="299">
        <v>45000</v>
      </c>
      <c r="F422" s="351"/>
      <c r="G422" s="298">
        <f t="shared" si="70"/>
        <v>1</v>
      </c>
      <c r="H422" s="299">
        <f t="shared" si="80"/>
        <v>45000</v>
      </c>
      <c r="I422" s="299">
        <v>45000</v>
      </c>
      <c r="J422" s="320">
        <f t="shared" si="38"/>
        <v>0</v>
      </c>
      <c r="K422" s="300">
        <v>0</v>
      </c>
      <c r="M422" s="174">
        <f t="shared" si="1"/>
        <v>0</v>
      </c>
      <c r="O422" s="144"/>
      <c r="FH422" s="304"/>
      <c r="FI422" s="304"/>
      <c r="FJ422" s="304"/>
      <c r="FK422" s="304"/>
      <c r="FL422" s="304"/>
      <c r="FM422" s="304"/>
      <c r="FN422" s="304"/>
      <c r="FO422" s="304"/>
      <c r="FP422" s="304"/>
      <c r="FQ422" s="304"/>
      <c r="FR422" s="304"/>
      <c r="FS422" s="304"/>
      <c r="FT422" s="304"/>
      <c r="FU422" s="304"/>
      <c r="FV422" s="304"/>
      <c r="FW422" s="304"/>
      <c r="FX422" s="304"/>
      <c r="FY422" s="304"/>
      <c r="FZ422" s="304"/>
      <c r="GA422" s="304"/>
      <c r="GB422" s="304"/>
      <c r="GC422" s="304"/>
      <c r="GD422" s="304"/>
      <c r="GE422" s="304"/>
      <c r="GF422" s="304"/>
      <c r="GG422" s="304"/>
      <c r="GH422" s="304"/>
      <c r="GI422" s="304"/>
      <c r="GJ422" s="304"/>
      <c r="GK422" s="304"/>
      <c r="GL422" s="304"/>
      <c r="GM422" s="304"/>
      <c r="GN422" s="304"/>
      <c r="GO422" s="304"/>
      <c r="GP422" s="304"/>
      <c r="GQ422" s="304"/>
      <c r="GR422" s="304"/>
      <c r="GS422" s="304"/>
      <c r="GT422" s="304"/>
      <c r="GU422" s="304"/>
      <c r="GV422" s="304"/>
      <c r="GW422" s="304"/>
      <c r="GX422" s="304"/>
      <c r="GY422" s="304"/>
      <c r="GZ422" s="304"/>
      <c r="HA422" s="304"/>
      <c r="HB422" s="304"/>
      <c r="HC422" s="304"/>
      <c r="HD422" s="304"/>
      <c r="HE422" s="304"/>
      <c r="HF422" s="304"/>
      <c r="HG422" s="304"/>
      <c r="HH422" s="304"/>
      <c r="HI422" s="304"/>
      <c r="HJ422" s="304"/>
      <c r="HK422" s="304"/>
      <c r="HL422" s="304"/>
      <c r="HM422" s="304"/>
      <c r="HN422" s="304"/>
      <c r="HO422" s="304"/>
      <c r="HP422" s="304"/>
      <c r="HQ422" s="304"/>
      <c r="HR422" s="304"/>
      <c r="HS422" s="304"/>
      <c r="HT422" s="304"/>
      <c r="HU422" s="304"/>
      <c r="HV422" s="304"/>
      <c r="HW422" s="304"/>
      <c r="HX422" s="304"/>
      <c r="HY422" s="304"/>
      <c r="HZ422" s="304"/>
      <c r="IA422" s="304"/>
      <c r="IB422" s="304"/>
      <c r="IC422" s="304"/>
      <c r="ID422" s="304"/>
      <c r="IE422" s="304"/>
      <c r="IF422" s="304"/>
      <c r="IG422" s="304"/>
      <c r="IH422" s="304"/>
      <c r="II422" s="304"/>
      <c r="IJ422" s="304"/>
      <c r="IK422" s="304"/>
      <c r="IL422" s="304"/>
      <c r="IM422" s="304"/>
      <c r="IN422" s="304"/>
      <c r="IO422" s="304"/>
      <c r="IP422" s="304"/>
      <c r="IQ422" s="304"/>
      <c r="IR422" s="304"/>
      <c r="IS422" s="304"/>
      <c r="IT422" s="304"/>
      <c r="IU422" s="304"/>
      <c r="IV422" s="304"/>
    </row>
    <row r="423" spans="1:256" ht="23.25">
      <c r="A423" s="360" t="s">
        <v>545</v>
      </c>
      <c r="B423" s="333" t="s">
        <v>650</v>
      </c>
      <c r="C423" s="459">
        <f t="shared" si="81"/>
        <v>0.045454545454545456</v>
      </c>
      <c r="D423" s="310"/>
      <c r="E423" s="299">
        <v>7500</v>
      </c>
      <c r="F423" s="351"/>
      <c r="G423" s="298">
        <f t="shared" si="70"/>
        <v>1</v>
      </c>
      <c r="H423" s="299">
        <f t="shared" si="80"/>
        <v>7500</v>
      </c>
      <c r="I423" s="299">
        <v>0</v>
      </c>
      <c r="J423" s="320">
        <f t="shared" si="38"/>
        <v>1</v>
      </c>
      <c r="K423" s="300">
        <v>7500</v>
      </c>
      <c r="M423" s="174">
        <f t="shared" si="1"/>
        <v>7500</v>
      </c>
      <c r="O423" s="144"/>
      <c r="FH423" s="304"/>
      <c r="FI423" s="304"/>
      <c r="FJ423" s="304"/>
      <c r="FK423" s="304"/>
      <c r="FL423" s="304"/>
      <c r="FM423" s="304"/>
      <c r="FN423" s="304"/>
      <c r="FO423" s="304"/>
      <c r="FP423" s="304"/>
      <c r="FQ423" s="304"/>
      <c r="FR423" s="304"/>
      <c r="FS423" s="304"/>
      <c r="FT423" s="304"/>
      <c r="FU423" s="304"/>
      <c r="FV423" s="304"/>
      <c r="FW423" s="304"/>
      <c r="FX423" s="304"/>
      <c r="FY423" s="304"/>
      <c r="FZ423" s="304"/>
      <c r="GA423" s="304"/>
      <c r="GB423" s="304"/>
      <c r="GC423" s="304"/>
      <c r="GD423" s="304"/>
      <c r="GE423" s="304"/>
      <c r="GF423" s="304"/>
      <c r="GG423" s="304"/>
      <c r="GH423" s="304"/>
      <c r="GI423" s="304"/>
      <c r="GJ423" s="304"/>
      <c r="GK423" s="304"/>
      <c r="GL423" s="304"/>
      <c r="GM423" s="304"/>
      <c r="GN423" s="304"/>
      <c r="GO423" s="304"/>
      <c r="GP423" s="304"/>
      <c r="GQ423" s="304"/>
      <c r="GR423" s="304"/>
      <c r="GS423" s="304"/>
      <c r="GT423" s="304"/>
      <c r="GU423" s="304"/>
      <c r="GV423" s="304"/>
      <c r="GW423" s="304"/>
      <c r="GX423" s="304"/>
      <c r="GY423" s="304"/>
      <c r="GZ423" s="304"/>
      <c r="HA423" s="304"/>
      <c r="HB423" s="304"/>
      <c r="HC423" s="304"/>
      <c r="HD423" s="304"/>
      <c r="HE423" s="304"/>
      <c r="HF423" s="304"/>
      <c r="HG423" s="304"/>
      <c r="HH423" s="304"/>
      <c r="HI423" s="304"/>
      <c r="HJ423" s="304"/>
      <c r="HK423" s="304"/>
      <c r="HL423" s="304"/>
      <c r="HM423" s="304"/>
      <c r="HN423" s="304"/>
      <c r="HO423" s="304"/>
      <c r="HP423" s="304"/>
      <c r="HQ423" s="304"/>
      <c r="HR423" s="304"/>
      <c r="HS423" s="304"/>
      <c r="HT423" s="304"/>
      <c r="HU423" s="304"/>
      <c r="HV423" s="304"/>
      <c r="HW423" s="304"/>
      <c r="HX423" s="304"/>
      <c r="HY423" s="304"/>
      <c r="HZ423" s="304"/>
      <c r="IA423" s="304"/>
      <c r="IB423" s="304"/>
      <c r="IC423" s="304"/>
      <c r="ID423" s="304"/>
      <c r="IE423" s="304"/>
      <c r="IF423" s="304"/>
      <c r="IG423" s="304"/>
      <c r="IH423" s="304"/>
      <c r="II423" s="304"/>
      <c r="IJ423" s="304"/>
      <c r="IK423" s="304"/>
      <c r="IL423" s="304"/>
      <c r="IM423" s="304"/>
      <c r="IN423" s="304"/>
      <c r="IO423" s="304"/>
      <c r="IP423" s="304"/>
      <c r="IQ423" s="304"/>
      <c r="IR423" s="304"/>
      <c r="IS423" s="304"/>
      <c r="IT423" s="304"/>
      <c r="IU423" s="304"/>
      <c r="IV423" s="304"/>
    </row>
    <row r="424" spans="1:256" ht="23.25">
      <c r="A424" s="360" t="s">
        <v>547</v>
      </c>
      <c r="B424" s="333" t="s">
        <v>651</v>
      </c>
      <c r="C424" s="459">
        <f t="shared" si="81"/>
        <v>0.048484848484848485</v>
      </c>
      <c r="D424" s="310"/>
      <c r="E424" s="299">
        <v>8000</v>
      </c>
      <c r="F424" s="351"/>
      <c r="G424" s="298">
        <f t="shared" si="70"/>
        <v>1</v>
      </c>
      <c r="H424" s="299">
        <f t="shared" si="80"/>
        <v>8000</v>
      </c>
      <c r="I424" s="299">
        <v>8000</v>
      </c>
      <c r="J424" s="320">
        <f t="shared" si="38"/>
        <v>0</v>
      </c>
      <c r="K424" s="300">
        <v>0</v>
      </c>
      <c r="M424" s="174">
        <f t="shared" si="1"/>
        <v>0</v>
      </c>
      <c r="O424" s="144"/>
      <c r="FH424" s="304"/>
      <c r="FI424" s="304"/>
      <c r="FJ424" s="304"/>
      <c r="FK424" s="304"/>
      <c r="FL424" s="304"/>
      <c r="FM424" s="304"/>
      <c r="FN424" s="304"/>
      <c r="FO424" s="304"/>
      <c r="FP424" s="304"/>
      <c r="FQ424" s="304"/>
      <c r="FR424" s="304"/>
      <c r="FS424" s="304"/>
      <c r="FT424" s="304"/>
      <c r="FU424" s="304"/>
      <c r="FV424" s="304"/>
      <c r="FW424" s="304"/>
      <c r="FX424" s="304"/>
      <c r="FY424" s="304"/>
      <c r="FZ424" s="304"/>
      <c r="GA424" s="304"/>
      <c r="GB424" s="304"/>
      <c r="GC424" s="304"/>
      <c r="GD424" s="304"/>
      <c r="GE424" s="304"/>
      <c r="GF424" s="304"/>
      <c r="GG424" s="304"/>
      <c r="GH424" s="304"/>
      <c r="GI424" s="304"/>
      <c r="GJ424" s="304"/>
      <c r="GK424" s="304"/>
      <c r="GL424" s="304"/>
      <c r="GM424" s="304"/>
      <c r="GN424" s="304"/>
      <c r="GO424" s="304"/>
      <c r="GP424" s="304"/>
      <c r="GQ424" s="304"/>
      <c r="GR424" s="304"/>
      <c r="GS424" s="304"/>
      <c r="GT424" s="304"/>
      <c r="GU424" s="304"/>
      <c r="GV424" s="304"/>
      <c r="GW424" s="304"/>
      <c r="GX424" s="304"/>
      <c r="GY424" s="304"/>
      <c r="GZ424" s="304"/>
      <c r="HA424" s="304"/>
      <c r="HB424" s="304"/>
      <c r="HC424" s="304"/>
      <c r="HD424" s="304"/>
      <c r="HE424" s="304"/>
      <c r="HF424" s="304"/>
      <c r="HG424" s="304"/>
      <c r="HH424" s="304"/>
      <c r="HI424" s="304"/>
      <c r="HJ424" s="304"/>
      <c r="HK424" s="304"/>
      <c r="HL424" s="304"/>
      <c r="HM424" s="304"/>
      <c r="HN424" s="304"/>
      <c r="HO424" s="304"/>
      <c r="HP424" s="304"/>
      <c r="HQ424" s="304"/>
      <c r="HR424" s="304"/>
      <c r="HS424" s="304"/>
      <c r="HT424" s="304"/>
      <c r="HU424" s="304"/>
      <c r="HV424" s="304"/>
      <c r="HW424" s="304"/>
      <c r="HX424" s="304"/>
      <c r="HY424" s="304"/>
      <c r="HZ424" s="304"/>
      <c r="IA424" s="304"/>
      <c r="IB424" s="304"/>
      <c r="IC424" s="304"/>
      <c r="ID424" s="304"/>
      <c r="IE424" s="304"/>
      <c r="IF424" s="304"/>
      <c r="IG424" s="304"/>
      <c r="IH424" s="304"/>
      <c r="II424" s="304"/>
      <c r="IJ424" s="304"/>
      <c r="IK424" s="304"/>
      <c r="IL424" s="304"/>
      <c r="IM424" s="304"/>
      <c r="IN424" s="304"/>
      <c r="IO424" s="304"/>
      <c r="IP424" s="304"/>
      <c r="IQ424" s="304"/>
      <c r="IR424" s="304"/>
      <c r="IS424" s="304"/>
      <c r="IT424" s="304"/>
      <c r="IU424" s="304"/>
      <c r="IV424" s="304"/>
    </row>
    <row r="425" spans="1:256" ht="23.25">
      <c r="A425" s="360" t="s">
        <v>549</v>
      </c>
      <c r="B425" s="333" t="s">
        <v>833</v>
      </c>
      <c r="C425" s="459">
        <f t="shared" si="81"/>
        <v>0.05757575757575758</v>
      </c>
      <c r="D425" s="310"/>
      <c r="E425" s="299">
        <v>9500</v>
      </c>
      <c r="F425" s="351"/>
      <c r="G425" s="298">
        <f t="shared" si="70"/>
        <v>1</v>
      </c>
      <c r="H425" s="299">
        <f t="shared" si="80"/>
        <v>9500</v>
      </c>
      <c r="I425" s="299">
        <v>0</v>
      </c>
      <c r="J425" s="320">
        <f t="shared" si="38"/>
        <v>1</v>
      </c>
      <c r="K425" s="300">
        <v>9500</v>
      </c>
      <c r="M425" s="174">
        <f t="shared" si="1"/>
        <v>9500</v>
      </c>
      <c r="O425" s="144"/>
      <c r="FH425" s="304"/>
      <c r="FI425" s="304"/>
      <c r="FJ425" s="304"/>
      <c r="FK425" s="304"/>
      <c r="FL425" s="304"/>
      <c r="FM425" s="304"/>
      <c r="FN425" s="304"/>
      <c r="FO425" s="304"/>
      <c r="FP425" s="304"/>
      <c r="FQ425" s="304"/>
      <c r="FR425" s="304"/>
      <c r="FS425" s="304"/>
      <c r="FT425" s="304"/>
      <c r="FU425" s="304"/>
      <c r="FV425" s="304"/>
      <c r="FW425" s="304"/>
      <c r="FX425" s="304"/>
      <c r="FY425" s="304"/>
      <c r="FZ425" s="304"/>
      <c r="GA425" s="304"/>
      <c r="GB425" s="304"/>
      <c r="GC425" s="304"/>
      <c r="GD425" s="304"/>
      <c r="GE425" s="304"/>
      <c r="GF425" s="304"/>
      <c r="GG425" s="304"/>
      <c r="GH425" s="304"/>
      <c r="GI425" s="304"/>
      <c r="GJ425" s="304"/>
      <c r="GK425" s="304"/>
      <c r="GL425" s="304"/>
      <c r="GM425" s="304"/>
      <c r="GN425" s="304"/>
      <c r="GO425" s="304"/>
      <c r="GP425" s="304"/>
      <c r="GQ425" s="304"/>
      <c r="GR425" s="304"/>
      <c r="GS425" s="304"/>
      <c r="GT425" s="304"/>
      <c r="GU425" s="304"/>
      <c r="GV425" s="304"/>
      <c r="GW425" s="304"/>
      <c r="GX425" s="304"/>
      <c r="GY425" s="304"/>
      <c r="GZ425" s="304"/>
      <c r="HA425" s="304"/>
      <c r="HB425" s="304"/>
      <c r="HC425" s="304"/>
      <c r="HD425" s="304"/>
      <c r="HE425" s="304"/>
      <c r="HF425" s="304"/>
      <c r="HG425" s="304"/>
      <c r="HH425" s="304"/>
      <c r="HI425" s="304"/>
      <c r="HJ425" s="304"/>
      <c r="HK425" s="304"/>
      <c r="HL425" s="304"/>
      <c r="HM425" s="304"/>
      <c r="HN425" s="304"/>
      <c r="HO425" s="304"/>
      <c r="HP425" s="304"/>
      <c r="HQ425" s="304"/>
      <c r="HR425" s="304"/>
      <c r="HS425" s="304"/>
      <c r="HT425" s="304"/>
      <c r="HU425" s="304"/>
      <c r="HV425" s="304"/>
      <c r="HW425" s="304"/>
      <c r="HX425" s="304"/>
      <c r="HY425" s="304"/>
      <c r="HZ425" s="304"/>
      <c r="IA425" s="304"/>
      <c r="IB425" s="304"/>
      <c r="IC425" s="304"/>
      <c r="ID425" s="304"/>
      <c r="IE425" s="304"/>
      <c r="IF425" s="304"/>
      <c r="IG425" s="304"/>
      <c r="IH425" s="304"/>
      <c r="II425" s="304"/>
      <c r="IJ425" s="304"/>
      <c r="IK425" s="304"/>
      <c r="IL425" s="304"/>
      <c r="IM425" s="304"/>
      <c r="IN425" s="304"/>
      <c r="IO425" s="304"/>
      <c r="IP425" s="304"/>
      <c r="IQ425" s="304"/>
      <c r="IR425" s="304"/>
      <c r="IS425" s="304"/>
      <c r="IT425" s="304"/>
      <c r="IU425" s="304"/>
      <c r="IV425" s="304"/>
    </row>
    <row r="426" spans="1:256" ht="23.25">
      <c r="A426" s="259" t="s">
        <v>68</v>
      </c>
      <c r="B426" s="260" t="s">
        <v>653</v>
      </c>
      <c r="C426" s="458">
        <f>+E426/E409</f>
        <v>0.013919461992909029</v>
      </c>
      <c r="D426" s="262">
        <v>50289.3</v>
      </c>
      <c r="E426" s="265">
        <v>7000</v>
      </c>
      <c r="F426" s="263"/>
      <c r="G426" s="264">
        <f t="shared" si="70"/>
        <v>1</v>
      </c>
      <c r="H426" s="265">
        <f t="shared" si="80"/>
        <v>7000</v>
      </c>
      <c r="I426" s="265">
        <v>0</v>
      </c>
      <c r="J426" s="264">
        <f t="shared" si="38"/>
        <v>1</v>
      </c>
      <c r="K426" s="266">
        <v>7000</v>
      </c>
      <c r="M426" s="174">
        <f t="shared" si="1"/>
        <v>7000</v>
      </c>
      <c r="O426" s="144"/>
      <c r="FH426" s="304"/>
      <c r="FI426" s="304"/>
      <c r="FJ426" s="304"/>
      <c r="FK426" s="304"/>
      <c r="FL426" s="304"/>
      <c r="FM426" s="304"/>
      <c r="FN426" s="304"/>
      <c r="FO426" s="304"/>
      <c r="FP426" s="304"/>
      <c r="FQ426" s="304"/>
      <c r="FR426" s="304"/>
      <c r="FS426" s="304"/>
      <c r="FT426" s="304"/>
      <c r="FU426" s="304"/>
      <c r="FV426" s="304"/>
      <c r="FW426" s="304"/>
      <c r="FX426" s="304"/>
      <c r="FY426" s="304"/>
      <c r="FZ426" s="304"/>
      <c r="GA426" s="304"/>
      <c r="GB426" s="304"/>
      <c r="GC426" s="304"/>
      <c r="GD426" s="304"/>
      <c r="GE426" s="304"/>
      <c r="GF426" s="304"/>
      <c r="GG426" s="304"/>
      <c r="GH426" s="304"/>
      <c r="GI426" s="304"/>
      <c r="GJ426" s="304"/>
      <c r="GK426" s="304"/>
      <c r="GL426" s="304"/>
      <c r="GM426" s="304"/>
      <c r="GN426" s="304"/>
      <c r="GO426" s="304"/>
      <c r="GP426" s="304"/>
      <c r="GQ426" s="304"/>
      <c r="GR426" s="304"/>
      <c r="GS426" s="304"/>
      <c r="GT426" s="304"/>
      <c r="GU426" s="304"/>
      <c r="GV426" s="304"/>
      <c r="GW426" s="304"/>
      <c r="GX426" s="304"/>
      <c r="GY426" s="304"/>
      <c r="GZ426" s="304"/>
      <c r="HA426" s="304"/>
      <c r="HB426" s="304"/>
      <c r="HC426" s="304"/>
      <c r="HD426" s="304"/>
      <c r="HE426" s="304"/>
      <c r="HF426" s="304"/>
      <c r="HG426" s="304"/>
      <c r="HH426" s="304"/>
      <c r="HI426" s="304"/>
      <c r="HJ426" s="304"/>
      <c r="HK426" s="304"/>
      <c r="HL426" s="304"/>
      <c r="HM426" s="304"/>
      <c r="HN426" s="304"/>
      <c r="HO426" s="304"/>
      <c r="HP426" s="304"/>
      <c r="HQ426" s="304"/>
      <c r="HR426" s="304"/>
      <c r="HS426" s="304"/>
      <c r="HT426" s="304"/>
      <c r="HU426" s="304"/>
      <c r="HV426" s="304"/>
      <c r="HW426" s="304"/>
      <c r="HX426" s="304"/>
      <c r="HY426" s="304"/>
      <c r="HZ426" s="304"/>
      <c r="IA426" s="304"/>
      <c r="IB426" s="304"/>
      <c r="IC426" s="304"/>
      <c r="ID426" s="304"/>
      <c r="IE426" s="304"/>
      <c r="IF426" s="304"/>
      <c r="IG426" s="304"/>
      <c r="IH426" s="304"/>
      <c r="II426" s="304"/>
      <c r="IJ426" s="304"/>
      <c r="IK426" s="304"/>
      <c r="IL426" s="304"/>
      <c r="IM426" s="304"/>
      <c r="IN426" s="304"/>
      <c r="IO426" s="304"/>
      <c r="IP426" s="304"/>
      <c r="IQ426" s="304"/>
      <c r="IR426" s="304"/>
      <c r="IS426" s="304"/>
      <c r="IT426" s="304"/>
      <c r="IU426" s="304"/>
      <c r="IV426" s="304"/>
    </row>
    <row r="427" spans="1:15" ht="43.5">
      <c r="A427" s="323">
        <v>3</v>
      </c>
      <c r="B427" s="324" t="s">
        <v>654</v>
      </c>
      <c r="C427" s="363">
        <v>0.03</v>
      </c>
      <c r="D427" s="326">
        <v>251446.5</v>
      </c>
      <c r="E427" s="329">
        <f>$E$399*C427</f>
        <v>251446.5</v>
      </c>
      <c r="F427" s="327"/>
      <c r="G427" s="328">
        <f t="shared" si="70"/>
        <v>1</v>
      </c>
      <c r="H427" s="329">
        <f>+H428+H431</f>
        <v>251446.5</v>
      </c>
      <c r="I427" s="329">
        <f>+I428+I431</f>
        <v>241446.5</v>
      </c>
      <c r="J427" s="328">
        <f t="shared" si="38"/>
        <v>0.03976989140831151</v>
      </c>
      <c r="K427" s="330">
        <f>SUM(K428)+K431</f>
        <v>10000</v>
      </c>
      <c r="M427" s="174">
        <f t="shared" si="1"/>
        <v>10000</v>
      </c>
      <c r="O427" s="144"/>
    </row>
    <row r="428" spans="1:15" ht="23.25">
      <c r="A428" s="251" t="s">
        <v>71</v>
      </c>
      <c r="B428" s="252" t="s">
        <v>655</v>
      </c>
      <c r="C428" s="464"/>
      <c r="D428" s="379"/>
      <c r="E428" s="257">
        <f>E427</f>
        <v>251446.5</v>
      </c>
      <c r="F428" s="380"/>
      <c r="G428" s="384">
        <f t="shared" si="70"/>
        <v>0.8011505429584425</v>
      </c>
      <c r="H428" s="257">
        <f aca="true" t="shared" si="82" ref="H428:H431">+I428+K428</f>
        <v>201446.5</v>
      </c>
      <c r="I428" s="257">
        <f>+I429+I430</f>
        <v>201446.5</v>
      </c>
      <c r="J428" s="384">
        <f t="shared" si="38"/>
        <v>0</v>
      </c>
      <c r="K428" s="258">
        <f>SUM(K429:K430)</f>
        <v>0</v>
      </c>
      <c r="M428" s="174">
        <f t="shared" si="1"/>
        <v>0</v>
      </c>
      <c r="O428" s="144"/>
    </row>
    <row r="429" spans="1:15" ht="23.25">
      <c r="A429" s="309" t="s">
        <v>656</v>
      </c>
      <c r="B429" s="294" t="s">
        <v>657</v>
      </c>
      <c r="C429" s="319">
        <f>+E429/E428</f>
        <v>0.30057527147922125</v>
      </c>
      <c r="D429" s="465"/>
      <c r="E429" s="299">
        <v>75578.6</v>
      </c>
      <c r="F429" s="466"/>
      <c r="G429" s="298">
        <f t="shared" si="70"/>
        <v>1</v>
      </c>
      <c r="H429" s="299">
        <f t="shared" si="82"/>
        <v>75578.6</v>
      </c>
      <c r="I429" s="299">
        <v>75578.6</v>
      </c>
      <c r="J429" s="467">
        <f t="shared" si="38"/>
        <v>0</v>
      </c>
      <c r="K429" s="300">
        <v>0</v>
      </c>
      <c r="M429" s="174">
        <f t="shared" si="1"/>
        <v>0</v>
      </c>
      <c r="O429" s="144"/>
    </row>
    <row r="430" spans="1:15" ht="23.25">
      <c r="A430" s="309" t="s">
        <v>658</v>
      </c>
      <c r="B430" s="294" t="s">
        <v>659</v>
      </c>
      <c r="C430" s="319">
        <f>+E430/E428</f>
        <v>0.5005752714792212</v>
      </c>
      <c r="D430" s="465"/>
      <c r="E430" s="299">
        <v>125867.9</v>
      </c>
      <c r="F430" s="466"/>
      <c r="G430" s="298">
        <f t="shared" si="70"/>
        <v>1</v>
      </c>
      <c r="H430" s="299">
        <f t="shared" si="82"/>
        <v>125867.9</v>
      </c>
      <c r="I430" s="299">
        <v>125867.9</v>
      </c>
      <c r="J430" s="467">
        <f t="shared" si="38"/>
        <v>0</v>
      </c>
      <c r="K430" s="300">
        <v>0</v>
      </c>
      <c r="M430" s="174">
        <f t="shared" si="1"/>
        <v>0</v>
      </c>
      <c r="O430" s="144"/>
    </row>
    <row r="431" spans="1:15" ht="23.25">
      <c r="A431" s="251" t="s">
        <v>73</v>
      </c>
      <c r="B431" s="252" t="s">
        <v>834</v>
      </c>
      <c r="C431" s="378">
        <f>+E431/E428</f>
        <v>0.19884945704155754</v>
      </c>
      <c r="D431" s="379"/>
      <c r="E431" s="257">
        <v>50000</v>
      </c>
      <c r="F431" s="380"/>
      <c r="G431" s="256">
        <f>+H431/E431</f>
        <v>1</v>
      </c>
      <c r="H431" s="257">
        <f t="shared" si="82"/>
        <v>50000</v>
      </c>
      <c r="I431" s="257">
        <v>40000</v>
      </c>
      <c r="J431" s="384">
        <f t="shared" si="38"/>
        <v>0.2</v>
      </c>
      <c r="K431" s="258">
        <v>10000</v>
      </c>
      <c r="M431" s="174">
        <f t="shared" si="1"/>
        <v>10000</v>
      </c>
      <c r="O431" s="144"/>
    </row>
    <row r="432" spans="1:15" ht="23.25">
      <c r="A432" s="468" t="s">
        <v>661</v>
      </c>
      <c r="B432" s="469" t="s">
        <v>835</v>
      </c>
      <c r="C432" s="468" t="s">
        <v>663</v>
      </c>
      <c r="D432" s="470">
        <v>1967500</v>
      </c>
      <c r="E432" s="471">
        <f>$K$8*5%</f>
        <v>1967500</v>
      </c>
      <c r="F432" s="472">
        <f>E433+F436+F439+E442</f>
        <v>1967500</v>
      </c>
      <c r="G432" s="473">
        <f aca="true" t="shared" si="83" ref="G432:G445">H432/E432</f>
        <v>0.8002</v>
      </c>
      <c r="H432" s="471">
        <f>+H433+H436+H439+H442</f>
        <v>1574393.5</v>
      </c>
      <c r="I432" s="471">
        <f>+I433+I436+I439+I442</f>
        <v>1437652.1</v>
      </c>
      <c r="J432" s="473">
        <f t="shared" si="38"/>
        <v>0.06950007623888182</v>
      </c>
      <c r="K432" s="474">
        <f>+K433+K436+K439+K442</f>
        <v>136741.4</v>
      </c>
      <c r="M432" s="174">
        <f t="shared" si="1"/>
        <v>136741.3999999999</v>
      </c>
      <c r="O432" s="144"/>
    </row>
    <row r="433" spans="1:15" ht="43.5">
      <c r="A433" s="475">
        <v>1</v>
      </c>
      <c r="B433" s="476" t="s">
        <v>836</v>
      </c>
      <c r="C433" s="477">
        <v>0.1</v>
      </c>
      <c r="D433" s="478">
        <v>196750</v>
      </c>
      <c r="E433" s="479">
        <f>$E$432*C433</f>
        <v>196750</v>
      </c>
      <c r="F433" s="480"/>
      <c r="G433" s="481">
        <f t="shared" si="83"/>
        <v>1</v>
      </c>
      <c r="H433" s="479">
        <f aca="true" t="shared" si="84" ref="H433:H435">+I433+K433</f>
        <v>196750</v>
      </c>
      <c r="I433" s="479">
        <f>+I434+I435</f>
        <v>143627.5</v>
      </c>
      <c r="J433" s="482">
        <f t="shared" si="38"/>
        <v>0.27</v>
      </c>
      <c r="K433" s="183">
        <f>SUM(K434:K435)</f>
        <v>53122.5</v>
      </c>
      <c r="M433" s="174">
        <f t="shared" si="1"/>
        <v>53122.5</v>
      </c>
      <c r="O433" s="144"/>
    </row>
    <row r="434" spans="1:15" ht="23.25">
      <c r="A434" s="281" t="s">
        <v>10</v>
      </c>
      <c r="B434" s="282" t="s">
        <v>665</v>
      </c>
      <c r="C434" s="407">
        <f>E434/E433</f>
        <v>0.1</v>
      </c>
      <c r="D434" s="442"/>
      <c r="E434" s="287">
        <v>19675</v>
      </c>
      <c r="F434" s="443"/>
      <c r="G434" s="286">
        <f t="shared" si="83"/>
        <v>1</v>
      </c>
      <c r="H434" s="287">
        <f t="shared" si="84"/>
        <v>19675</v>
      </c>
      <c r="I434" s="287">
        <v>19675</v>
      </c>
      <c r="J434" s="288">
        <f t="shared" si="38"/>
        <v>0</v>
      </c>
      <c r="K434" s="289">
        <v>0</v>
      </c>
      <c r="M434" s="174">
        <f t="shared" si="1"/>
        <v>0</v>
      </c>
      <c r="O434" s="144"/>
    </row>
    <row r="435" spans="1:15" ht="23.25">
      <c r="A435" s="281" t="s">
        <v>20</v>
      </c>
      <c r="B435" s="282" t="s">
        <v>666</v>
      </c>
      <c r="C435" s="407">
        <f>E435/E433</f>
        <v>0.9</v>
      </c>
      <c r="D435" s="442"/>
      <c r="E435" s="287">
        <v>177075</v>
      </c>
      <c r="F435" s="443"/>
      <c r="G435" s="286">
        <f t="shared" si="83"/>
        <v>1</v>
      </c>
      <c r="H435" s="287">
        <f t="shared" si="84"/>
        <v>177075</v>
      </c>
      <c r="I435" s="287">
        <v>123952.5</v>
      </c>
      <c r="J435" s="288">
        <f t="shared" si="38"/>
        <v>0.3</v>
      </c>
      <c r="K435" s="289">
        <f>0.3*E435</f>
        <v>53122.5</v>
      </c>
      <c r="M435" s="174">
        <f t="shared" si="1"/>
        <v>53122.5</v>
      </c>
      <c r="O435" s="144"/>
    </row>
    <row r="436" spans="1:15" ht="43.5">
      <c r="A436" s="275">
        <v>2</v>
      </c>
      <c r="B436" s="276" t="s">
        <v>837</v>
      </c>
      <c r="C436" s="277">
        <v>0.15</v>
      </c>
      <c r="D436" s="278">
        <v>295125</v>
      </c>
      <c r="E436" s="233">
        <f>$E$432*C436</f>
        <v>295125</v>
      </c>
      <c r="F436" s="279">
        <f>SUM(E437:E438)</f>
        <v>295125</v>
      </c>
      <c r="G436" s="232">
        <f t="shared" si="83"/>
        <v>1</v>
      </c>
      <c r="H436" s="233">
        <f>SUM(H437:H438)</f>
        <v>295125</v>
      </c>
      <c r="I436" s="233">
        <f>SUM(I437:I438)</f>
        <v>215441.1</v>
      </c>
      <c r="J436" s="267">
        <f t="shared" si="38"/>
        <v>0.2700005082592122</v>
      </c>
      <c r="K436" s="234">
        <f>SUM(K437:K438)</f>
        <v>79683.9</v>
      </c>
      <c r="M436" s="174">
        <f t="shared" si="1"/>
        <v>79683.9</v>
      </c>
      <c r="O436" s="144"/>
    </row>
    <row r="437" spans="1:15" ht="23.25">
      <c r="A437" s="243" t="s">
        <v>62</v>
      </c>
      <c r="B437" s="244" t="s">
        <v>665</v>
      </c>
      <c r="C437" s="456">
        <v>0.1</v>
      </c>
      <c r="D437" s="483">
        <v>29512</v>
      </c>
      <c r="E437" s="249">
        <v>29512</v>
      </c>
      <c r="F437" s="247"/>
      <c r="G437" s="248">
        <f t="shared" si="83"/>
        <v>1</v>
      </c>
      <c r="H437" s="249">
        <f aca="true" t="shared" si="85" ref="H437:H438">+I437+K437</f>
        <v>29512</v>
      </c>
      <c r="I437" s="249">
        <v>29512</v>
      </c>
      <c r="J437" s="248">
        <f t="shared" si="38"/>
        <v>0</v>
      </c>
      <c r="K437" s="250">
        <v>0</v>
      </c>
      <c r="M437" s="174">
        <f t="shared" si="1"/>
        <v>0</v>
      </c>
      <c r="O437" s="144"/>
    </row>
    <row r="438" spans="1:15" ht="23.25">
      <c r="A438" s="259" t="s">
        <v>64</v>
      </c>
      <c r="B438" s="260" t="s">
        <v>666</v>
      </c>
      <c r="C438" s="458">
        <v>0.9</v>
      </c>
      <c r="D438" s="484">
        <v>265613</v>
      </c>
      <c r="E438" s="265">
        <v>265613</v>
      </c>
      <c r="F438" s="263"/>
      <c r="G438" s="264">
        <f t="shared" si="83"/>
        <v>1</v>
      </c>
      <c r="H438" s="265">
        <f t="shared" si="85"/>
        <v>265613</v>
      </c>
      <c r="I438" s="265">
        <v>185929.1</v>
      </c>
      <c r="J438" s="264">
        <f t="shared" si="38"/>
        <v>0.3</v>
      </c>
      <c r="K438" s="266">
        <f>0.3*E438</f>
        <v>79683.9</v>
      </c>
      <c r="M438" s="174">
        <f t="shared" si="1"/>
        <v>79683.9</v>
      </c>
      <c r="O438" s="144"/>
    </row>
    <row r="439" spans="1:15" ht="23.25">
      <c r="A439" s="275">
        <v>3</v>
      </c>
      <c r="B439" s="276" t="s">
        <v>838</v>
      </c>
      <c r="C439" s="277">
        <v>0.74</v>
      </c>
      <c r="D439" s="278">
        <v>1455950</v>
      </c>
      <c r="E439" s="233">
        <f>$E$432*C439</f>
        <v>1455950</v>
      </c>
      <c r="F439" s="279">
        <f>SUM(E440:E441)</f>
        <v>1455950</v>
      </c>
      <c r="G439" s="232">
        <f t="shared" si="83"/>
        <v>0.73</v>
      </c>
      <c r="H439" s="233">
        <f>SUM(H440:H441)</f>
        <v>1062843.5</v>
      </c>
      <c r="I439" s="233">
        <f>SUM(I440:I441)</f>
        <v>1062843.5</v>
      </c>
      <c r="J439" s="267">
        <f t="shared" si="38"/>
        <v>0</v>
      </c>
      <c r="K439" s="234">
        <f>SUM(K440:K441)</f>
        <v>0</v>
      </c>
      <c r="M439" s="174">
        <f t="shared" si="1"/>
        <v>0</v>
      </c>
      <c r="O439" s="144"/>
    </row>
    <row r="440" spans="1:15" ht="23.25">
      <c r="A440" s="243" t="s">
        <v>71</v>
      </c>
      <c r="B440" s="244" t="s">
        <v>839</v>
      </c>
      <c r="C440" s="456">
        <v>0.1</v>
      </c>
      <c r="D440" s="246">
        <v>145595</v>
      </c>
      <c r="E440" s="249">
        <f aca="true" t="shared" si="86" ref="E440:E441">$E$439*C440</f>
        <v>145595</v>
      </c>
      <c r="F440" s="247"/>
      <c r="G440" s="248">
        <f t="shared" si="83"/>
        <v>1</v>
      </c>
      <c r="H440" s="249">
        <f aca="true" t="shared" si="87" ref="H440:H442">+I440+K440</f>
        <v>145595</v>
      </c>
      <c r="I440" s="249">
        <v>145595</v>
      </c>
      <c r="J440" s="248">
        <f t="shared" si="38"/>
        <v>0</v>
      </c>
      <c r="K440" s="250">
        <v>0</v>
      </c>
      <c r="M440" s="174">
        <f t="shared" si="1"/>
        <v>0</v>
      </c>
      <c r="O440" s="144"/>
    </row>
    <row r="441" spans="1:15" ht="23.25">
      <c r="A441" s="259" t="s">
        <v>73</v>
      </c>
      <c r="B441" s="260" t="s">
        <v>840</v>
      </c>
      <c r="C441" s="458">
        <v>0.9</v>
      </c>
      <c r="D441" s="262">
        <v>1310355</v>
      </c>
      <c r="E441" s="265">
        <f t="shared" si="86"/>
        <v>1310355</v>
      </c>
      <c r="F441" s="263"/>
      <c r="G441" s="264">
        <f t="shared" si="83"/>
        <v>0.7</v>
      </c>
      <c r="H441" s="265">
        <f t="shared" si="87"/>
        <v>917248.5</v>
      </c>
      <c r="I441" s="265">
        <v>917248.5</v>
      </c>
      <c r="J441" s="264">
        <f t="shared" si="38"/>
        <v>0</v>
      </c>
      <c r="K441" s="266">
        <v>0</v>
      </c>
      <c r="M441" s="174">
        <f t="shared" si="1"/>
        <v>0</v>
      </c>
      <c r="O441" s="144"/>
    </row>
    <row r="442" spans="1:15" ht="43.5">
      <c r="A442" s="275">
        <v>4</v>
      </c>
      <c r="B442" s="276" t="s">
        <v>841</v>
      </c>
      <c r="C442" s="277">
        <v>0.01</v>
      </c>
      <c r="D442" s="278">
        <v>19675</v>
      </c>
      <c r="E442" s="233">
        <f>$E$432*C442</f>
        <v>19675</v>
      </c>
      <c r="F442" s="279"/>
      <c r="G442" s="232">
        <f t="shared" si="83"/>
        <v>1</v>
      </c>
      <c r="H442" s="233">
        <f t="shared" si="87"/>
        <v>19675</v>
      </c>
      <c r="I442" s="233">
        <v>15740</v>
      </c>
      <c r="J442" s="267">
        <f t="shared" si="38"/>
        <v>0.2</v>
      </c>
      <c r="K442" s="234">
        <f>0.2*E442</f>
        <v>3935</v>
      </c>
      <c r="M442" s="174">
        <f t="shared" si="1"/>
        <v>3935</v>
      </c>
      <c r="O442" s="144"/>
    </row>
    <row r="443" spans="1:15" ht="23.25">
      <c r="A443" s="268" t="s">
        <v>672</v>
      </c>
      <c r="B443" s="269" t="s">
        <v>673</v>
      </c>
      <c r="C443" s="268" t="s">
        <v>674</v>
      </c>
      <c r="D443" s="270">
        <v>157400</v>
      </c>
      <c r="E443" s="273">
        <f>$K$8*0.4%</f>
        <v>157400</v>
      </c>
      <c r="F443" s="271">
        <f>SUM(E444:E445)</f>
        <v>157400</v>
      </c>
      <c r="G443" s="434">
        <f t="shared" si="83"/>
        <v>1</v>
      </c>
      <c r="H443" s="273">
        <f>SUM(H444:H445)</f>
        <v>157400</v>
      </c>
      <c r="I443" s="273">
        <f>SUM(I444:I445)</f>
        <v>96014</v>
      </c>
      <c r="J443" s="434">
        <f t="shared" si="38"/>
        <v>0.39</v>
      </c>
      <c r="K443" s="274">
        <f>SUM(K444:K445)</f>
        <v>61386</v>
      </c>
      <c r="M443" s="174">
        <f t="shared" si="1"/>
        <v>61386</v>
      </c>
      <c r="O443" s="144"/>
    </row>
    <row r="444" spans="1:15" ht="23.25">
      <c r="A444" s="275">
        <v>1</v>
      </c>
      <c r="B444" s="276" t="s">
        <v>675</v>
      </c>
      <c r="C444" s="277">
        <v>0.35</v>
      </c>
      <c r="D444" s="278">
        <v>55090</v>
      </c>
      <c r="E444" s="233">
        <f aca="true" t="shared" si="88" ref="E444:E445">$E$443*C444</f>
        <v>55090</v>
      </c>
      <c r="F444" s="279"/>
      <c r="G444" s="232">
        <f t="shared" si="83"/>
        <v>1</v>
      </c>
      <c r="H444" s="233">
        <f aca="true" t="shared" si="89" ref="H444:H445">+I444+K444</f>
        <v>55090</v>
      </c>
      <c r="I444" s="233">
        <v>55090</v>
      </c>
      <c r="J444" s="267">
        <f t="shared" si="38"/>
        <v>0</v>
      </c>
      <c r="K444" s="234">
        <v>0</v>
      </c>
      <c r="M444" s="174">
        <f t="shared" si="1"/>
        <v>0</v>
      </c>
      <c r="O444" s="144"/>
    </row>
    <row r="445" spans="1:15" ht="23.25">
      <c r="A445" s="275">
        <v>2</v>
      </c>
      <c r="B445" s="276" t="s">
        <v>676</v>
      </c>
      <c r="C445" s="277">
        <v>0.65</v>
      </c>
      <c r="D445" s="278">
        <v>102310</v>
      </c>
      <c r="E445" s="233">
        <f t="shared" si="88"/>
        <v>102310</v>
      </c>
      <c r="F445" s="279"/>
      <c r="G445" s="232">
        <f t="shared" si="83"/>
        <v>1</v>
      </c>
      <c r="H445" s="233">
        <f t="shared" si="89"/>
        <v>102310</v>
      </c>
      <c r="I445" s="233">
        <v>40924</v>
      </c>
      <c r="J445" s="267">
        <f t="shared" si="38"/>
        <v>0.6</v>
      </c>
      <c r="K445" s="234">
        <f>0.6*E445</f>
        <v>61386</v>
      </c>
      <c r="M445" s="174">
        <f t="shared" si="1"/>
        <v>61386</v>
      </c>
      <c r="O445" s="144"/>
    </row>
    <row r="446" spans="1:15" ht="23.25">
      <c r="A446" s="268" t="s">
        <v>677</v>
      </c>
      <c r="B446" s="269" t="s">
        <v>678</v>
      </c>
      <c r="C446" s="268" t="s">
        <v>679</v>
      </c>
      <c r="D446" s="270">
        <v>1731400</v>
      </c>
      <c r="E446" s="273">
        <f>$K$8*4.4%</f>
        <v>1731400.0000000002</v>
      </c>
      <c r="F446" s="271">
        <f>F447+F453+E456+E457</f>
        <v>1584231.0000000002</v>
      </c>
      <c r="G446" s="434">
        <f>+H446/E446</f>
        <v>0.9999999976897306</v>
      </c>
      <c r="H446" s="273">
        <f>+H447+H453+H456+H457</f>
        <v>1731399.9959999998</v>
      </c>
      <c r="I446" s="273">
        <f>+I447+I453+I456+I457</f>
        <v>1434828.49</v>
      </c>
      <c r="J446" s="434">
        <f t="shared" si="38"/>
        <v>0.17128999999999997</v>
      </c>
      <c r="K446" s="274">
        <f>+K447+K453+K456+K457</f>
        <v>296571.506</v>
      </c>
      <c r="M446" s="174">
        <f t="shared" si="1"/>
        <v>296571.5059999998</v>
      </c>
      <c r="O446" s="144"/>
    </row>
    <row r="447" spans="1:15" ht="23.25">
      <c r="A447" s="397">
        <v>1</v>
      </c>
      <c r="B447" s="398" t="s">
        <v>680</v>
      </c>
      <c r="C447" s="399">
        <v>0.1</v>
      </c>
      <c r="D447" s="400">
        <v>173140.00000000003</v>
      </c>
      <c r="E447" s="401">
        <f>+E448+E449+E450+E451+E452</f>
        <v>173140</v>
      </c>
      <c r="F447" s="402">
        <f>SUM(E448:E449)</f>
        <v>25971</v>
      </c>
      <c r="G447" s="403">
        <f aca="true" t="shared" si="90" ref="G447:G471">H447/E447</f>
        <v>1</v>
      </c>
      <c r="H447" s="401">
        <f>SUM(H448:H452)</f>
        <v>173140</v>
      </c>
      <c r="I447" s="401">
        <f>SUM(I448:I452)</f>
        <v>173140</v>
      </c>
      <c r="J447" s="403">
        <f t="shared" si="38"/>
        <v>0</v>
      </c>
      <c r="K447" s="404">
        <f>+K448+K449+K450+K451+K452</f>
        <v>0</v>
      </c>
      <c r="M447" s="174">
        <f t="shared" si="1"/>
        <v>0</v>
      </c>
      <c r="O447" s="144"/>
    </row>
    <row r="448" spans="1:15" ht="23.25">
      <c r="A448" s="251" t="s">
        <v>10</v>
      </c>
      <c r="B448" s="485" t="s">
        <v>681</v>
      </c>
      <c r="C448" s="486">
        <f aca="true" t="shared" si="91" ref="C448:C452">+E448/$E$447</f>
        <v>0.04620001155134573</v>
      </c>
      <c r="D448" s="254">
        <v>25971</v>
      </c>
      <c r="E448" s="257">
        <v>7999.07</v>
      </c>
      <c r="F448" s="255"/>
      <c r="G448" s="256">
        <f t="shared" si="90"/>
        <v>1</v>
      </c>
      <c r="H448" s="257">
        <f aca="true" t="shared" si="92" ref="H448:H452">+I448+K448</f>
        <v>7999.07</v>
      </c>
      <c r="I448" s="257">
        <v>7999.07</v>
      </c>
      <c r="J448" s="256">
        <f t="shared" si="38"/>
        <v>0</v>
      </c>
      <c r="K448" s="258">
        <v>0</v>
      </c>
      <c r="M448" s="174">
        <f t="shared" si="1"/>
        <v>0</v>
      </c>
      <c r="O448" s="144"/>
    </row>
    <row r="449" spans="1:15" ht="23.25">
      <c r="A449" s="251" t="s">
        <v>20</v>
      </c>
      <c r="B449" s="485" t="s">
        <v>682</v>
      </c>
      <c r="C449" s="486">
        <f t="shared" si="91"/>
        <v>0.10379998844865428</v>
      </c>
      <c r="D449" s="254">
        <v>147169</v>
      </c>
      <c r="E449" s="257">
        <v>17971.93</v>
      </c>
      <c r="F449" s="255"/>
      <c r="G449" s="256">
        <f t="shared" si="90"/>
        <v>1</v>
      </c>
      <c r="H449" s="257">
        <f t="shared" si="92"/>
        <v>17971.93</v>
      </c>
      <c r="I449" s="257">
        <v>17971.93</v>
      </c>
      <c r="J449" s="256">
        <f t="shared" si="38"/>
        <v>0</v>
      </c>
      <c r="K449" s="258">
        <v>0</v>
      </c>
      <c r="M449" s="174">
        <f t="shared" si="1"/>
        <v>0</v>
      </c>
      <c r="O449" s="144"/>
    </row>
    <row r="450" spans="1:15" ht="23.25">
      <c r="A450" s="251" t="s">
        <v>87</v>
      </c>
      <c r="B450" s="485" t="s">
        <v>683</v>
      </c>
      <c r="C450" s="486">
        <f t="shared" si="91"/>
        <v>0.08659997689730854</v>
      </c>
      <c r="D450" s="254"/>
      <c r="E450" s="257">
        <v>14993.92</v>
      </c>
      <c r="F450" s="255"/>
      <c r="G450" s="256">
        <f t="shared" si="90"/>
        <v>1</v>
      </c>
      <c r="H450" s="257">
        <f t="shared" si="92"/>
        <v>14993.92</v>
      </c>
      <c r="I450" s="257">
        <v>14993.92</v>
      </c>
      <c r="J450" s="256">
        <f t="shared" si="38"/>
        <v>0</v>
      </c>
      <c r="K450" s="258">
        <v>0</v>
      </c>
      <c r="M450" s="174">
        <f t="shared" si="1"/>
        <v>0</v>
      </c>
      <c r="O450" s="144"/>
    </row>
    <row r="451" spans="1:15" ht="23.25">
      <c r="A451" s="251" t="s">
        <v>89</v>
      </c>
      <c r="B451" s="485" t="s">
        <v>684</v>
      </c>
      <c r="C451" s="486">
        <f t="shared" si="91"/>
        <v>0.6479000231026915</v>
      </c>
      <c r="D451" s="254"/>
      <c r="E451" s="257">
        <v>112177.41</v>
      </c>
      <c r="F451" s="255"/>
      <c r="G451" s="256">
        <f t="shared" si="90"/>
        <v>1</v>
      </c>
      <c r="H451" s="257">
        <f t="shared" si="92"/>
        <v>112177.41</v>
      </c>
      <c r="I451" s="257">
        <v>112177.41</v>
      </c>
      <c r="J451" s="256">
        <f t="shared" si="38"/>
        <v>0</v>
      </c>
      <c r="K451" s="258">
        <v>0</v>
      </c>
      <c r="M451" s="174">
        <f t="shared" si="1"/>
        <v>0</v>
      </c>
      <c r="O451" s="144"/>
    </row>
    <row r="452" spans="1:15" ht="23.25">
      <c r="A452" s="251" t="s">
        <v>91</v>
      </c>
      <c r="B452" s="485" t="s">
        <v>685</v>
      </c>
      <c r="C452" s="486">
        <f t="shared" si="91"/>
        <v>0.11549999999999999</v>
      </c>
      <c r="D452" s="254"/>
      <c r="E452" s="257">
        <v>19997.67</v>
      </c>
      <c r="F452" s="255"/>
      <c r="G452" s="256">
        <f t="shared" si="90"/>
        <v>1</v>
      </c>
      <c r="H452" s="257">
        <f t="shared" si="92"/>
        <v>19997.67</v>
      </c>
      <c r="I452" s="257">
        <v>19997.67</v>
      </c>
      <c r="J452" s="256">
        <f t="shared" si="38"/>
        <v>0</v>
      </c>
      <c r="K452" s="258">
        <v>0</v>
      </c>
      <c r="M452" s="174">
        <f t="shared" si="1"/>
        <v>0</v>
      </c>
      <c r="O452" s="144"/>
    </row>
    <row r="453" spans="1:15" ht="43.5">
      <c r="A453" s="475">
        <v>2</v>
      </c>
      <c r="B453" s="476" t="s">
        <v>686</v>
      </c>
      <c r="C453" s="477">
        <v>0.08</v>
      </c>
      <c r="D453" s="478">
        <v>138512.00000000003</v>
      </c>
      <c r="E453" s="479">
        <f>$E$446*C453</f>
        <v>138512.00000000003</v>
      </c>
      <c r="F453" s="480">
        <f>SUM(E454:E455)</f>
        <v>138512.00000000003</v>
      </c>
      <c r="G453" s="481">
        <f t="shared" si="90"/>
        <v>0.9999999999999998</v>
      </c>
      <c r="H453" s="479">
        <f>SUM(H454:H455)</f>
        <v>138512</v>
      </c>
      <c r="I453" s="479">
        <f>SUM(I454:I455)</f>
        <v>138512</v>
      </c>
      <c r="J453" s="482">
        <f t="shared" si="38"/>
        <v>0</v>
      </c>
      <c r="K453" s="183">
        <f>+K454+K455</f>
        <v>0</v>
      </c>
      <c r="M453" s="174">
        <f t="shared" si="1"/>
        <v>0</v>
      </c>
      <c r="O453" s="144"/>
    </row>
    <row r="454" spans="1:15" ht="23.25">
      <c r="A454" s="243" t="s">
        <v>62</v>
      </c>
      <c r="B454" s="244" t="s">
        <v>665</v>
      </c>
      <c r="C454" s="456">
        <v>0.15</v>
      </c>
      <c r="D454" s="483">
        <v>20776</v>
      </c>
      <c r="E454" s="249">
        <v>20776</v>
      </c>
      <c r="F454" s="247"/>
      <c r="G454" s="248">
        <f t="shared" si="90"/>
        <v>1</v>
      </c>
      <c r="H454" s="249">
        <f aca="true" t="shared" si="93" ref="H454:H456">+I454+K454</f>
        <v>20776</v>
      </c>
      <c r="I454" s="249">
        <v>20776</v>
      </c>
      <c r="J454" s="248">
        <f t="shared" si="38"/>
        <v>0</v>
      </c>
      <c r="K454" s="250">
        <v>0</v>
      </c>
      <c r="M454" s="174">
        <f t="shared" si="1"/>
        <v>0</v>
      </c>
      <c r="O454" s="144"/>
    </row>
    <row r="455" spans="1:15" ht="23.25">
      <c r="A455" s="259" t="s">
        <v>64</v>
      </c>
      <c r="B455" s="260" t="s">
        <v>666</v>
      </c>
      <c r="C455" s="458">
        <v>0.85</v>
      </c>
      <c r="D455" s="484">
        <v>117736.00000000003</v>
      </c>
      <c r="E455" s="265">
        <v>117736.00000000003</v>
      </c>
      <c r="F455" s="263"/>
      <c r="G455" s="264">
        <f t="shared" si="90"/>
        <v>0.9999999999999998</v>
      </c>
      <c r="H455" s="265">
        <f t="shared" si="93"/>
        <v>117736</v>
      </c>
      <c r="I455" s="265">
        <v>117736</v>
      </c>
      <c r="J455" s="264">
        <f t="shared" si="38"/>
        <v>0</v>
      </c>
      <c r="K455" s="266">
        <v>0</v>
      </c>
      <c r="M455" s="174">
        <f t="shared" si="1"/>
        <v>0</v>
      </c>
      <c r="O455" s="144"/>
    </row>
    <row r="456" spans="1:15" ht="43.5">
      <c r="A456" s="275">
        <v>3</v>
      </c>
      <c r="B456" s="276" t="s">
        <v>842</v>
      </c>
      <c r="C456" s="277">
        <v>0.01</v>
      </c>
      <c r="D456" s="278">
        <v>17314.000000000004</v>
      </c>
      <c r="E456" s="233">
        <f aca="true" t="shared" si="94" ref="E456:E457">$E$446*C456</f>
        <v>17314.000000000004</v>
      </c>
      <c r="F456" s="279"/>
      <c r="G456" s="232">
        <f t="shared" si="90"/>
        <v>0.9999999999999998</v>
      </c>
      <c r="H456" s="233">
        <f t="shared" si="93"/>
        <v>17314</v>
      </c>
      <c r="I456" s="233">
        <v>13851.2</v>
      </c>
      <c r="J456" s="267">
        <f t="shared" si="38"/>
        <v>0.2</v>
      </c>
      <c r="K456" s="234">
        <f>0.2*E456</f>
        <v>3462.800000000001</v>
      </c>
      <c r="M456" s="174">
        <f t="shared" si="1"/>
        <v>3462.7999999999993</v>
      </c>
      <c r="O456" s="144"/>
    </row>
    <row r="457" spans="1:15" ht="48" customHeight="1">
      <c r="A457" s="275">
        <v>4</v>
      </c>
      <c r="B457" s="276" t="s">
        <v>689</v>
      </c>
      <c r="C457" s="277">
        <v>0.81</v>
      </c>
      <c r="D457" s="278">
        <v>1402434.0000000002</v>
      </c>
      <c r="E457" s="233">
        <f t="shared" si="94"/>
        <v>1402434.0000000002</v>
      </c>
      <c r="F457" s="279"/>
      <c r="G457" s="232">
        <f t="shared" si="90"/>
        <v>0.9999999971478156</v>
      </c>
      <c r="H457" s="233">
        <f>SUM(H458:H464)</f>
        <v>1402433.9959999998</v>
      </c>
      <c r="I457" s="233">
        <f>SUM(I458:I464)</f>
        <v>1109325.29</v>
      </c>
      <c r="J457" s="267">
        <f t="shared" si="38"/>
        <v>0.20899999999999996</v>
      </c>
      <c r="K457" s="234">
        <f>+K458+K459+K460+K461+K462+K463+K464</f>
        <v>293108.706</v>
      </c>
      <c r="M457" s="174">
        <f t="shared" si="1"/>
        <v>293108.7059999998</v>
      </c>
      <c r="O457" s="144"/>
    </row>
    <row r="458" spans="1:15" ht="23.25">
      <c r="A458" s="243" t="s">
        <v>269</v>
      </c>
      <c r="B458" s="244" t="s">
        <v>690</v>
      </c>
      <c r="C458" s="456">
        <v>0.18</v>
      </c>
      <c r="D458" s="246">
        <v>252438.12000000002</v>
      </c>
      <c r="E458" s="249">
        <f aca="true" t="shared" si="95" ref="E458:E464">$E$457*C458</f>
        <v>252438.12000000002</v>
      </c>
      <c r="F458" s="307"/>
      <c r="G458" s="248">
        <f t="shared" si="90"/>
        <v>0.9999999999999999</v>
      </c>
      <c r="H458" s="249">
        <f aca="true" t="shared" si="96" ref="H458:H462">+I458+K458</f>
        <v>252438.12</v>
      </c>
      <c r="I458" s="249">
        <v>252438.12</v>
      </c>
      <c r="J458" s="248">
        <f t="shared" si="38"/>
        <v>0</v>
      </c>
      <c r="K458" s="250">
        <v>0</v>
      </c>
      <c r="M458" s="174">
        <f t="shared" si="1"/>
        <v>0</v>
      </c>
      <c r="O458" s="144"/>
    </row>
    <row r="459" spans="1:15" ht="23.25">
      <c r="A459" s="251" t="s">
        <v>271</v>
      </c>
      <c r="B459" s="252" t="s">
        <v>691</v>
      </c>
      <c r="C459" s="486">
        <v>0.09</v>
      </c>
      <c r="D459" s="254">
        <v>126219.06000000001</v>
      </c>
      <c r="E459" s="257">
        <f t="shared" si="95"/>
        <v>126219.06000000001</v>
      </c>
      <c r="F459" s="307"/>
      <c r="G459" s="256">
        <f t="shared" si="90"/>
        <v>0.9999999999999999</v>
      </c>
      <c r="H459" s="257">
        <f t="shared" si="96"/>
        <v>126219.06</v>
      </c>
      <c r="I459" s="257">
        <v>126219.06</v>
      </c>
      <c r="J459" s="256">
        <f t="shared" si="38"/>
        <v>0</v>
      </c>
      <c r="K459" s="258">
        <v>0</v>
      </c>
      <c r="M459" s="174">
        <f t="shared" si="1"/>
        <v>0</v>
      </c>
      <c r="O459" s="144"/>
    </row>
    <row r="460" spans="1:15" ht="23.25">
      <c r="A460" s="251" t="s">
        <v>429</v>
      </c>
      <c r="B460" s="252" t="s">
        <v>692</v>
      </c>
      <c r="C460" s="486">
        <v>0.03</v>
      </c>
      <c r="D460" s="254">
        <v>42073.02</v>
      </c>
      <c r="E460" s="257">
        <f t="shared" si="95"/>
        <v>42073.020000000004</v>
      </c>
      <c r="F460" s="307"/>
      <c r="G460" s="256">
        <f t="shared" si="90"/>
        <v>0.9999999999999998</v>
      </c>
      <c r="H460" s="257">
        <f t="shared" si="96"/>
        <v>42073.02</v>
      </c>
      <c r="I460" s="257">
        <v>0</v>
      </c>
      <c r="J460" s="256">
        <f t="shared" si="38"/>
        <v>0.9999999999999998</v>
      </c>
      <c r="K460" s="258">
        <v>42073.02</v>
      </c>
      <c r="M460" s="174">
        <f t="shared" si="1"/>
        <v>42073.02</v>
      </c>
      <c r="O460" s="144"/>
    </row>
    <row r="461" spans="1:15" ht="23.25">
      <c r="A461" s="251" t="s">
        <v>431</v>
      </c>
      <c r="B461" s="252" t="s">
        <v>693</v>
      </c>
      <c r="C461" s="486">
        <v>0.24</v>
      </c>
      <c r="D461" s="254">
        <v>336584.16</v>
      </c>
      <c r="E461" s="257">
        <f t="shared" si="95"/>
        <v>336584.16000000003</v>
      </c>
      <c r="F461" s="307"/>
      <c r="G461" s="256">
        <f t="shared" si="90"/>
        <v>0.9999999999999998</v>
      </c>
      <c r="H461" s="257">
        <f t="shared" si="96"/>
        <v>336584.16</v>
      </c>
      <c r="I461" s="257">
        <v>336584.16</v>
      </c>
      <c r="J461" s="256">
        <f t="shared" si="38"/>
        <v>0</v>
      </c>
      <c r="K461" s="258">
        <v>0</v>
      </c>
      <c r="M461" s="174">
        <f t="shared" si="1"/>
        <v>0</v>
      </c>
      <c r="O461" s="144"/>
    </row>
    <row r="462" spans="1:15" ht="23.25">
      <c r="A462" s="251" t="s">
        <v>433</v>
      </c>
      <c r="B462" s="252" t="s">
        <v>694</v>
      </c>
      <c r="C462" s="486">
        <v>0.23</v>
      </c>
      <c r="D462" s="254">
        <v>322559.82000000007</v>
      </c>
      <c r="E462" s="257">
        <f t="shared" si="95"/>
        <v>322559.82000000007</v>
      </c>
      <c r="F462" s="307"/>
      <c r="G462" s="256">
        <f t="shared" si="90"/>
        <v>0.9999999875991992</v>
      </c>
      <c r="H462" s="257">
        <f t="shared" si="96"/>
        <v>322559.816</v>
      </c>
      <c r="I462" s="257">
        <v>225791.87</v>
      </c>
      <c r="J462" s="256">
        <f t="shared" si="38"/>
        <v>0.3</v>
      </c>
      <c r="K462" s="258">
        <f>0.3*E462</f>
        <v>96767.94600000001</v>
      </c>
      <c r="M462" s="174">
        <f t="shared" si="1"/>
        <v>96767.946</v>
      </c>
      <c r="O462" s="144"/>
    </row>
    <row r="463" spans="1:15" ht="23.25">
      <c r="A463" s="251" t="s">
        <v>695</v>
      </c>
      <c r="B463" s="252" t="s">
        <v>696</v>
      </c>
      <c r="C463" s="486">
        <v>0.12</v>
      </c>
      <c r="D463" s="254">
        <v>168292.08</v>
      </c>
      <c r="E463" s="257">
        <f t="shared" si="95"/>
        <v>168292.08000000002</v>
      </c>
      <c r="F463" s="307"/>
      <c r="G463" s="256">
        <f t="shared" si="90"/>
        <v>0.9999999999999998</v>
      </c>
      <c r="H463" s="257">
        <v>168292.08</v>
      </c>
      <c r="I463" s="257">
        <v>168292.08</v>
      </c>
      <c r="J463" s="256">
        <f t="shared" si="38"/>
        <v>0</v>
      </c>
      <c r="K463" s="258">
        <v>0</v>
      </c>
      <c r="M463" s="174">
        <f t="shared" si="1"/>
        <v>0</v>
      </c>
      <c r="O463" s="144"/>
    </row>
    <row r="464" spans="1:15" ht="23.25">
      <c r="A464" s="251" t="s">
        <v>697</v>
      </c>
      <c r="B464" s="252" t="s">
        <v>698</v>
      </c>
      <c r="C464" s="486">
        <v>0.11</v>
      </c>
      <c r="D464" s="254">
        <v>154267.74000000002</v>
      </c>
      <c r="E464" s="257">
        <f t="shared" si="95"/>
        <v>154267.74000000002</v>
      </c>
      <c r="F464" s="307"/>
      <c r="G464" s="256">
        <f t="shared" si="90"/>
        <v>0.9999999999999998</v>
      </c>
      <c r="H464" s="257">
        <f>+I464+K464</f>
        <v>154267.74</v>
      </c>
      <c r="I464" s="257">
        <v>0</v>
      </c>
      <c r="J464" s="256">
        <f t="shared" si="38"/>
        <v>0.9999999999999998</v>
      </c>
      <c r="K464" s="258">
        <v>154267.74</v>
      </c>
      <c r="M464" s="174">
        <f t="shared" si="1"/>
        <v>154267.74</v>
      </c>
      <c r="O464" s="144"/>
    </row>
    <row r="465" spans="1:15" ht="43.5">
      <c r="A465" s="365" t="s">
        <v>699</v>
      </c>
      <c r="B465" s="366" t="s">
        <v>700</v>
      </c>
      <c r="C465" s="365" t="s">
        <v>701</v>
      </c>
      <c r="D465" s="367">
        <v>118050</v>
      </c>
      <c r="E465" s="368">
        <f>$K$8*0.3%</f>
        <v>118050</v>
      </c>
      <c r="F465" s="369">
        <f>SUM(E466:E470)</f>
        <v>118050</v>
      </c>
      <c r="G465" s="437">
        <f t="shared" si="90"/>
        <v>1</v>
      </c>
      <c r="H465" s="368">
        <f>SUM(H466:H470)</f>
        <v>118050</v>
      </c>
      <c r="I465" s="368">
        <f>SUM(I466:I470)</f>
        <v>0</v>
      </c>
      <c r="J465" s="437">
        <f t="shared" si="38"/>
        <v>1</v>
      </c>
      <c r="K465" s="371">
        <f>SUM(K466:K470)</f>
        <v>118050</v>
      </c>
      <c r="M465" s="174">
        <f t="shared" si="1"/>
        <v>118050</v>
      </c>
      <c r="O465" s="144"/>
    </row>
    <row r="466" spans="1:15" ht="23.25">
      <c r="A466" s="275">
        <v>1</v>
      </c>
      <c r="B466" s="276" t="s">
        <v>702</v>
      </c>
      <c r="C466" s="277">
        <v>0.57</v>
      </c>
      <c r="D466" s="278">
        <v>67288.5</v>
      </c>
      <c r="E466" s="233">
        <f aca="true" t="shared" si="97" ref="E466:E470">$E$465*C466</f>
        <v>67288.5</v>
      </c>
      <c r="F466" s="279"/>
      <c r="G466" s="232">
        <f t="shared" si="90"/>
        <v>1</v>
      </c>
      <c r="H466" s="233">
        <f aca="true" t="shared" si="98" ref="H466:H470">+I466+K466</f>
        <v>67288.5</v>
      </c>
      <c r="I466" s="233">
        <v>0</v>
      </c>
      <c r="J466" s="267">
        <f t="shared" si="38"/>
        <v>1</v>
      </c>
      <c r="K466" s="234">
        <f aca="true" t="shared" si="99" ref="K466:K470">+E466</f>
        <v>67288.5</v>
      </c>
      <c r="M466" s="174">
        <f t="shared" si="1"/>
        <v>67288.5</v>
      </c>
      <c r="O466" s="144"/>
    </row>
    <row r="467" spans="1:15" ht="23.25">
      <c r="A467" s="275">
        <v>2</v>
      </c>
      <c r="B467" s="276" t="s">
        <v>703</v>
      </c>
      <c r="C467" s="277">
        <v>0.21</v>
      </c>
      <c r="D467" s="278">
        <v>24790.5</v>
      </c>
      <c r="E467" s="233">
        <f t="shared" si="97"/>
        <v>24790.5</v>
      </c>
      <c r="F467" s="279"/>
      <c r="G467" s="232">
        <f t="shared" si="90"/>
        <v>1</v>
      </c>
      <c r="H467" s="233">
        <f t="shared" si="98"/>
        <v>24790.5</v>
      </c>
      <c r="I467" s="233">
        <v>0</v>
      </c>
      <c r="J467" s="267">
        <f t="shared" si="38"/>
        <v>1</v>
      </c>
      <c r="K467" s="234">
        <f t="shared" si="99"/>
        <v>24790.5</v>
      </c>
      <c r="M467" s="174">
        <f t="shared" si="1"/>
        <v>24790.5</v>
      </c>
      <c r="O467" s="144"/>
    </row>
    <row r="468" spans="1:15" ht="23.25">
      <c r="A468" s="275">
        <v>3</v>
      </c>
      <c r="B468" s="276" t="s">
        <v>704</v>
      </c>
      <c r="C468" s="277">
        <v>0.13</v>
      </c>
      <c r="D468" s="278">
        <v>15346.5</v>
      </c>
      <c r="E468" s="233">
        <f t="shared" si="97"/>
        <v>15346.5</v>
      </c>
      <c r="F468" s="279"/>
      <c r="G468" s="232">
        <f t="shared" si="90"/>
        <v>1</v>
      </c>
      <c r="H468" s="233">
        <f t="shared" si="98"/>
        <v>15346.5</v>
      </c>
      <c r="I468" s="233">
        <v>0</v>
      </c>
      <c r="J468" s="267">
        <f t="shared" si="38"/>
        <v>1</v>
      </c>
      <c r="K468" s="234">
        <f t="shared" si="99"/>
        <v>15346.5</v>
      </c>
      <c r="M468" s="174">
        <f t="shared" si="1"/>
        <v>15346.5</v>
      </c>
      <c r="O468" s="144"/>
    </row>
    <row r="469" spans="1:15" ht="23.25">
      <c r="A469" s="275">
        <v>4</v>
      </c>
      <c r="B469" s="276" t="s">
        <v>705</v>
      </c>
      <c r="C469" s="277">
        <v>0.05</v>
      </c>
      <c r="D469" s="278">
        <v>5902.5</v>
      </c>
      <c r="E469" s="233">
        <f t="shared" si="97"/>
        <v>5902.5</v>
      </c>
      <c r="F469" s="279"/>
      <c r="G469" s="232">
        <f t="shared" si="90"/>
        <v>1</v>
      </c>
      <c r="H469" s="233">
        <f t="shared" si="98"/>
        <v>5902.5</v>
      </c>
      <c r="I469" s="233">
        <v>0</v>
      </c>
      <c r="J469" s="267">
        <f t="shared" si="38"/>
        <v>1</v>
      </c>
      <c r="K469" s="234">
        <f t="shared" si="99"/>
        <v>5902.5</v>
      </c>
      <c r="M469" s="174">
        <f t="shared" si="1"/>
        <v>5902.5</v>
      </c>
      <c r="O469" s="144"/>
    </row>
    <row r="470" spans="1:15" ht="23.25">
      <c r="A470" s="275">
        <v>5</v>
      </c>
      <c r="B470" s="276" t="s">
        <v>706</v>
      </c>
      <c r="C470" s="277">
        <v>0.04</v>
      </c>
      <c r="D470" s="278">
        <v>4722</v>
      </c>
      <c r="E470" s="233">
        <f t="shared" si="97"/>
        <v>4722</v>
      </c>
      <c r="F470" s="279"/>
      <c r="G470" s="232">
        <f t="shared" si="90"/>
        <v>1</v>
      </c>
      <c r="H470" s="233">
        <f t="shared" si="98"/>
        <v>4722</v>
      </c>
      <c r="I470" s="233">
        <v>0</v>
      </c>
      <c r="J470" s="267">
        <f t="shared" si="38"/>
        <v>1</v>
      </c>
      <c r="K470" s="234">
        <f t="shared" si="99"/>
        <v>4722</v>
      </c>
      <c r="M470" s="174">
        <f t="shared" si="1"/>
        <v>4722</v>
      </c>
      <c r="O470" s="144"/>
    </row>
    <row r="471" spans="1:15" ht="43.5">
      <c r="A471" s="268" t="s">
        <v>707</v>
      </c>
      <c r="B471" s="269" t="s">
        <v>708</v>
      </c>
      <c r="C471" s="268" t="s">
        <v>709</v>
      </c>
      <c r="D471" s="270">
        <v>1219850</v>
      </c>
      <c r="E471" s="273">
        <f>$K$8*3.1%</f>
        <v>1219850</v>
      </c>
      <c r="F471" s="271">
        <f>SUM(F472+SUM(E482:E493))</f>
        <v>1919433.975</v>
      </c>
      <c r="G471" s="272">
        <f t="shared" si="90"/>
        <v>0.9851603172521213</v>
      </c>
      <c r="H471" s="273">
        <f>+H472+H482+H489+H490+H491+H492+H493</f>
        <v>1201747.813</v>
      </c>
      <c r="I471" s="273">
        <f>+I472+I482+I489+I490+I491+I492+I493</f>
        <v>827240.87</v>
      </c>
      <c r="J471" s="272">
        <f t="shared" si="38"/>
        <v>0.30701065950731643</v>
      </c>
      <c r="K471" s="274">
        <f>+K472+K482+K489+K490+K491+K492+K493</f>
        <v>374506.953</v>
      </c>
      <c r="M471" s="174">
        <f t="shared" si="1"/>
        <v>374506.9430000001</v>
      </c>
      <c r="O471" s="144"/>
    </row>
    <row r="472" spans="1:15" ht="23.25">
      <c r="A472" s="275">
        <v>1</v>
      </c>
      <c r="B472" s="276" t="s">
        <v>710</v>
      </c>
      <c r="C472" s="277">
        <v>0.53</v>
      </c>
      <c r="D472" s="278">
        <v>646520.5</v>
      </c>
      <c r="E472" s="233">
        <f>$E$471*C472</f>
        <v>646520.5</v>
      </c>
      <c r="F472" s="279">
        <f>SUM(E473:E481)</f>
        <v>646520.5</v>
      </c>
      <c r="G472" s="267">
        <f aca="true" t="shared" si="100" ref="G472:G493">+H472/E472</f>
        <v>0.9720005784812702</v>
      </c>
      <c r="H472" s="233">
        <f>SUM(H473:H481)</f>
        <v>628418.3</v>
      </c>
      <c r="I472" s="233">
        <f>SUM(I473:I481)</f>
        <v>569584.1499999999</v>
      </c>
      <c r="J472" s="267">
        <f t="shared" si="38"/>
        <v>0.09100121341860004</v>
      </c>
      <c r="K472" s="234">
        <f>SUM(K473:K481)</f>
        <v>58834.15000000001</v>
      </c>
      <c r="M472" s="174">
        <f t="shared" si="1"/>
        <v>58834.15000000014</v>
      </c>
      <c r="O472" s="144"/>
    </row>
    <row r="473" spans="1:15" ht="23.25">
      <c r="A473" s="243" t="s">
        <v>10</v>
      </c>
      <c r="B473" s="244" t="s">
        <v>711</v>
      </c>
      <c r="C473" s="245">
        <v>0.01</v>
      </c>
      <c r="D473" s="246">
        <v>6465</v>
      </c>
      <c r="E473" s="249">
        <v>6465</v>
      </c>
      <c r="F473" s="247"/>
      <c r="G473" s="248">
        <f t="shared" si="100"/>
        <v>1</v>
      </c>
      <c r="H473" s="249">
        <f aca="true" t="shared" si="101" ref="H473:H481">+I473+K473</f>
        <v>6465</v>
      </c>
      <c r="I473" s="249">
        <v>6465</v>
      </c>
      <c r="J473" s="248">
        <f t="shared" si="38"/>
        <v>0</v>
      </c>
      <c r="K473" s="250">
        <v>0</v>
      </c>
      <c r="M473" s="174">
        <f t="shared" si="1"/>
        <v>0</v>
      </c>
      <c r="O473" s="144"/>
    </row>
    <row r="474" spans="1:15" ht="23.25">
      <c r="A474" s="251" t="s">
        <v>20</v>
      </c>
      <c r="B474" s="252" t="s">
        <v>712</v>
      </c>
      <c r="C474" s="253">
        <v>0.04</v>
      </c>
      <c r="D474" s="254">
        <v>25860</v>
      </c>
      <c r="E474" s="257">
        <v>25860</v>
      </c>
      <c r="F474" s="255"/>
      <c r="G474" s="256">
        <f t="shared" si="100"/>
        <v>0.8</v>
      </c>
      <c r="H474" s="257">
        <f t="shared" si="101"/>
        <v>20688</v>
      </c>
      <c r="I474" s="257">
        <v>20688</v>
      </c>
      <c r="J474" s="256">
        <f t="shared" si="38"/>
        <v>0</v>
      </c>
      <c r="K474" s="258">
        <v>0</v>
      </c>
      <c r="M474" s="174">
        <f t="shared" si="1"/>
        <v>0</v>
      </c>
      <c r="O474" s="144"/>
    </row>
    <row r="475" spans="1:15" ht="23.25">
      <c r="A475" s="251" t="s">
        <v>87</v>
      </c>
      <c r="B475" s="252" t="s">
        <v>713</v>
      </c>
      <c r="C475" s="253">
        <v>0.06</v>
      </c>
      <c r="D475" s="254">
        <v>38791</v>
      </c>
      <c r="E475" s="257">
        <v>38791</v>
      </c>
      <c r="F475" s="255"/>
      <c r="G475" s="256">
        <f t="shared" si="100"/>
        <v>0.7999999999999999</v>
      </c>
      <c r="H475" s="257">
        <f t="shared" si="101"/>
        <v>31032.8</v>
      </c>
      <c r="I475" s="257">
        <v>31032.8</v>
      </c>
      <c r="J475" s="256">
        <f t="shared" si="38"/>
        <v>0</v>
      </c>
      <c r="K475" s="258">
        <v>0</v>
      </c>
      <c r="M475" s="174">
        <f t="shared" si="1"/>
        <v>0</v>
      </c>
      <c r="O475" s="144"/>
    </row>
    <row r="476" spans="1:15" ht="23.25">
      <c r="A476" s="251" t="s">
        <v>89</v>
      </c>
      <c r="B476" s="252" t="s">
        <v>714</v>
      </c>
      <c r="C476" s="253">
        <v>0.1</v>
      </c>
      <c r="D476" s="254">
        <v>64652</v>
      </c>
      <c r="E476" s="257">
        <v>64652</v>
      </c>
      <c r="F476" s="255"/>
      <c r="G476" s="256">
        <f t="shared" si="100"/>
        <v>1</v>
      </c>
      <c r="H476" s="257">
        <f t="shared" si="101"/>
        <v>64652</v>
      </c>
      <c r="I476" s="257">
        <v>38791.2</v>
      </c>
      <c r="J476" s="256">
        <f t="shared" si="38"/>
        <v>0.4</v>
      </c>
      <c r="K476" s="258">
        <f>0.4*E476</f>
        <v>25860.800000000003</v>
      </c>
      <c r="M476" s="174">
        <f t="shared" si="1"/>
        <v>25860.800000000003</v>
      </c>
      <c r="O476" s="144"/>
    </row>
    <row r="477" spans="1:15" ht="23.25">
      <c r="A477" s="251" t="s">
        <v>91</v>
      </c>
      <c r="B477" s="252" t="s">
        <v>715</v>
      </c>
      <c r="C477" s="253">
        <v>0.04</v>
      </c>
      <c r="D477" s="254">
        <v>25860</v>
      </c>
      <c r="E477" s="257">
        <v>25860</v>
      </c>
      <c r="F477" s="255"/>
      <c r="G477" s="256">
        <f t="shared" si="100"/>
        <v>0.8</v>
      </c>
      <c r="H477" s="257">
        <f t="shared" si="101"/>
        <v>20688</v>
      </c>
      <c r="I477" s="257">
        <v>20688</v>
      </c>
      <c r="J477" s="256">
        <f t="shared" si="38"/>
        <v>0</v>
      </c>
      <c r="K477" s="258">
        <v>0</v>
      </c>
      <c r="M477" s="174">
        <f t="shared" si="1"/>
        <v>0</v>
      </c>
      <c r="O477" s="144"/>
    </row>
    <row r="478" spans="1:15" ht="42" customHeight="1">
      <c r="A478" s="251" t="s">
        <v>93</v>
      </c>
      <c r="B478" s="252" t="s">
        <v>716</v>
      </c>
      <c r="C478" s="253">
        <v>0.22</v>
      </c>
      <c r="D478" s="254">
        <v>142234</v>
      </c>
      <c r="E478" s="257">
        <v>142234</v>
      </c>
      <c r="F478" s="255"/>
      <c r="G478" s="256">
        <f t="shared" si="100"/>
        <v>1</v>
      </c>
      <c r="H478" s="257">
        <f t="shared" si="101"/>
        <v>142234</v>
      </c>
      <c r="I478" s="257">
        <v>113787.2</v>
      </c>
      <c r="J478" s="256">
        <f t="shared" si="38"/>
        <v>0.2</v>
      </c>
      <c r="K478" s="258">
        <f aca="true" t="shared" si="102" ref="K478:K479">0.2*E478</f>
        <v>28446.800000000003</v>
      </c>
      <c r="M478" s="174">
        <f t="shared" si="1"/>
        <v>28446.800000000003</v>
      </c>
      <c r="O478" s="144"/>
    </row>
    <row r="479" spans="1:15" ht="23.25">
      <c r="A479" s="251" t="s">
        <v>95</v>
      </c>
      <c r="B479" s="252" t="s">
        <v>717</v>
      </c>
      <c r="C479" s="253">
        <v>0.02</v>
      </c>
      <c r="D479" s="254">
        <v>12930</v>
      </c>
      <c r="E479" s="257">
        <v>12930</v>
      </c>
      <c r="F479" s="255"/>
      <c r="G479" s="256">
        <f t="shared" si="100"/>
        <v>1</v>
      </c>
      <c r="H479" s="257">
        <f t="shared" si="101"/>
        <v>12930</v>
      </c>
      <c r="I479" s="257">
        <v>10344</v>
      </c>
      <c r="J479" s="256">
        <f t="shared" si="38"/>
        <v>0.2</v>
      </c>
      <c r="K479" s="258">
        <f t="shared" si="102"/>
        <v>2586</v>
      </c>
      <c r="M479" s="174">
        <f t="shared" si="1"/>
        <v>2586</v>
      </c>
      <c r="O479" s="144"/>
    </row>
    <row r="480" spans="1:15" ht="43.5">
      <c r="A480" s="251" t="s">
        <v>97</v>
      </c>
      <c r="B480" s="252" t="s">
        <v>718</v>
      </c>
      <c r="C480" s="253">
        <v>0.5</v>
      </c>
      <c r="D480" s="254">
        <v>323260</v>
      </c>
      <c r="E480" s="257">
        <v>323260</v>
      </c>
      <c r="F480" s="255"/>
      <c r="G480" s="256">
        <f t="shared" si="100"/>
        <v>1</v>
      </c>
      <c r="H480" s="257">
        <f t="shared" si="101"/>
        <v>323260</v>
      </c>
      <c r="I480" s="257">
        <v>323260</v>
      </c>
      <c r="J480" s="256">
        <f t="shared" si="38"/>
        <v>0</v>
      </c>
      <c r="K480" s="258">
        <v>0</v>
      </c>
      <c r="M480" s="174">
        <f t="shared" si="1"/>
        <v>0</v>
      </c>
      <c r="O480" s="144"/>
    </row>
    <row r="481" spans="1:15" ht="23.25">
      <c r="A481" s="259" t="s">
        <v>99</v>
      </c>
      <c r="B481" s="260" t="s">
        <v>719</v>
      </c>
      <c r="C481" s="261">
        <v>0.01</v>
      </c>
      <c r="D481" s="262">
        <v>6468.5</v>
      </c>
      <c r="E481" s="265">
        <v>6468.5</v>
      </c>
      <c r="F481" s="263"/>
      <c r="G481" s="264">
        <f t="shared" si="100"/>
        <v>1</v>
      </c>
      <c r="H481" s="265">
        <f t="shared" si="101"/>
        <v>6468.5</v>
      </c>
      <c r="I481" s="265">
        <v>4527.95</v>
      </c>
      <c r="J481" s="264">
        <f t="shared" si="38"/>
        <v>0.3</v>
      </c>
      <c r="K481" s="266">
        <f>0.3*E481</f>
        <v>1940.55</v>
      </c>
      <c r="M481" s="174">
        <f t="shared" si="1"/>
        <v>1940.5500000000002</v>
      </c>
      <c r="O481" s="144"/>
    </row>
    <row r="482" spans="1:15" ht="23.25">
      <c r="A482" s="275">
        <v>2</v>
      </c>
      <c r="B482" s="276" t="s">
        <v>720</v>
      </c>
      <c r="C482" s="277">
        <v>0.37</v>
      </c>
      <c r="D482" s="278">
        <v>451344.5</v>
      </c>
      <c r="E482" s="278">
        <f>$E$471*C482</f>
        <v>451344.5</v>
      </c>
      <c r="F482" s="279"/>
      <c r="G482" s="232">
        <f t="shared" si="100"/>
        <v>1.0000000288028323</v>
      </c>
      <c r="H482" s="233">
        <f>+H483+H487+H488</f>
        <v>451344.513</v>
      </c>
      <c r="I482" s="233">
        <f>+I483+I487+I488</f>
        <v>228380.32</v>
      </c>
      <c r="J482" s="267">
        <f t="shared" si="38"/>
        <v>0.4940000443120499</v>
      </c>
      <c r="K482" s="234">
        <f>SUM(K483,K487,K488)+0.01</f>
        <v>222964.203</v>
      </c>
      <c r="M482" s="174">
        <f t="shared" si="1"/>
        <v>222964.19299999997</v>
      </c>
      <c r="O482" s="144"/>
    </row>
    <row r="483" spans="1:15" ht="23.25">
      <c r="A483" s="305" t="s">
        <v>62</v>
      </c>
      <c r="B483" s="314" t="s">
        <v>721</v>
      </c>
      <c r="C483" s="315">
        <v>0.55</v>
      </c>
      <c r="D483" s="306">
        <v>248239.475</v>
      </c>
      <c r="E483" s="306">
        <f>$E$482*C483</f>
        <v>248239.475</v>
      </c>
      <c r="F483" s="307"/>
      <c r="G483" s="487">
        <f t="shared" si="100"/>
        <v>1.0000000422978659</v>
      </c>
      <c r="H483" s="317">
        <f aca="true" t="shared" si="103" ref="H483:H493">+I483+K483</f>
        <v>248239.4855</v>
      </c>
      <c r="I483" s="317">
        <f>+I484+I485+I486</f>
        <v>104260.58</v>
      </c>
      <c r="J483" s="316">
        <f t="shared" si="38"/>
        <v>0.5800000402836817</v>
      </c>
      <c r="K483" s="318">
        <f>SUM(K484:K486)</f>
        <v>143978.9055</v>
      </c>
      <c r="L483" s="292"/>
      <c r="M483" s="174">
        <f t="shared" si="1"/>
        <v>143978.9055</v>
      </c>
      <c r="O483" s="144"/>
    </row>
    <row r="484" spans="1:256" ht="23.25">
      <c r="A484" s="309" t="s">
        <v>408</v>
      </c>
      <c r="B484" s="294" t="s">
        <v>722</v>
      </c>
      <c r="C484" s="295">
        <f aca="true" t="shared" si="104" ref="C484:C486">E484/$E$483</f>
        <v>0.6</v>
      </c>
      <c r="D484" s="310"/>
      <c r="E484" s="299">
        <v>148943.685</v>
      </c>
      <c r="F484" s="311"/>
      <c r="G484" s="298">
        <f t="shared" si="100"/>
        <v>1.0000000033569734</v>
      </c>
      <c r="H484" s="299">
        <f t="shared" si="103"/>
        <v>148943.6855</v>
      </c>
      <c r="I484" s="299">
        <v>104260.58</v>
      </c>
      <c r="J484" s="298">
        <f t="shared" si="38"/>
        <v>0.3</v>
      </c>
      <c r="K484" s="300">
        <f>0.3*E484</f>
        <v>44683.1055</v>
      </c>
      <c r="M484" s="174">
        <f t="shared" si="1"/>
        <v>44683.10549999999</v>
      </c>
      <c r="O484" s="144"/>
      <c r="FH484" s="302"/>
      <c r="FI484" s="302"/>
      <c r="FJ484" s="302"/>
      <c r="FK484" s="302"/>
      <c r="FL484" s="302"/>
      <c r="FM484" s="302"/>
      <c r="FN484" s="302"/>
      <c r="FO484" s="302"/>
      <c r="FP484" s="302"/>
      <c r="FQ484" s="302"/>
      <c r="FR484" s="302"/>
      <c r="FS484" s="302"/>
      <c r="FT484" s="302"/>
      <c r="FU484" s="302"/>
      <c r="FV484" s="302"/>
      <c r="FW484" s="302"/>
      <c r="FX484" s="302"/>
      <c r="FY484" s="302"/>
      <c r="FZ484" s="302"/>
      <c r="GA484" s="302"/>
      <c r="GB484" s="302"/>
      <c r="GC484" s="302"/>
      <c r="GD484" s="302"/>
      <c r="GE484" s="302"/>
      <c r="GF484" s="302"/>
      <c r="GG484" s="302"/>
      <c r="GH484" s="302"/>
      <c r="GI484" s="302"/>
      <c r="GJ484" s="302"/>
      <c r="GK484" s="302"/>
      <c r="GL484" s="302"/>
      <c r="GM484" s="302"/>
      <c r="GN484" s="302"/>
      <c r="GO484" s="302"/>
      <c r="GP484" s="302"/>
      <c r="GQ484" s="302"/>
      <c r="GR484" s="302"/>
      <c r="GS484" s="302"/>
      <c r="GT484" s="302"/>
      <c r="GU484" s="302"/>
      <c r="GV484" s="302"/>
      <c r="GW484" s="302"/>
      <c r="GX484" s="302"/>
      <c r="GY484" s="302"/>
      <c r="GZ484" s="302"/>
      <c r="HA484" s="302"/>
      <c r="HB484" s="302"/>
      <c r="HC484" s="302"/>
      <c r="HD484" s="302"/>
      <c r="HE484" s="302"/>
      <c r="HF484" s="302"/>
      <c r="HG484" s="302"/>
      <c r="HH484" s="302"/>
      <c r="HI484" s="302"/>
      <c r="HJ484" s="302"/>
      <c r="HK484" s="302"/>
      <c r="HL484" s="302"/>
      <c r="HM484" s="302"/>
      <c r="HN484" s="302"/>
      <c r="HO484" s="302"/>
      <c r="HP484" s="302"/>
      <c r="HQ484" s="302"/>
      <c r="HR484" s="302"/>
      <c r="HS484" s="302"/>
      <c r="HT484" s="302"/>
      <c r="HU484" s="302"/>
      <c r="HV484" s="302"/>
      <c r="HW484" s="302"/>
      <c r="HX484" s="302"/>
      <c r="HY484" s="302"/>
      <c r="HZ484" s="302"/>
      <c r="IA484" s="302"/>
      <c r="IB484" s="302"/>
      <c r="IC484" s="302"/>
      <c r="ID484" s="302"/>
      <c r="IE484" s="302"/>
      <c r="IF484" s="302"/>
      <c r="IG484" s="302"/>
      <c r="IH484" s="302"/>
      <c r="II484" s="302"/>
      <c r="IJ484" s="302"/>
      <c r="IK484" s="302"/>
      <c r="IL484" s="302"/>
      <c r="IM484" s="302"/>
      <c r="IN484" s="302"/>
      <c r="IO484" s="302"/>
      <c r="IP484" s="302"/>
      <c r="IQ484" s="302"/>
      <c r="IR484" s="302"/>
      <c r="IS484" s="302"/>
      <c r="IT484" s="302"/>
      <c r="IU484" s="302"/>
      <c r="IV484" s="302"/>
    </row>
    <row r="485" spans="1:256" ht="43.5">
      <c r="A485" s="309" t="s">
        <v>410</v>
      </c>
      <c r="B485" s="294" t="s">
        <v>723</v>
      </c>
      <c r="C485" s="295">
        <f t="shared" si="104"/>
        <v>0.2</v>
      </c>
      <c r="D485" s="310"/>
      <c r="E485" s="299">
        <v>49647.895000000004</v>
      </c>
      <c r="F485" s="311"/>
      <c r="G485" s="298">
        <f t="shared" si="100"/>
        <v>1.0000001007092043</v>
      </c>
      <c r="H485" s="299">
        <f t="shared" si="103"/>
        <v>49647.9</v>
      </c>
      <c r="I485" s="299">
        <v>0</v>
      </c>
      <c r="J485" s="298">
        <f t="shared" si="38"/>
        <v>1.0000001007092043</v>
      </c>
      <c r="K485" s="300">
        <v>49647.9</v>
      </c>
      <c r="M485" s="174">
        <f t="shared" si="1"/>
        <v>49647.9</v>
      </c>
      <c r="O485" s="144"/>
      <c r="FH485" s="302"/>
      <c r="FI485" s="302"/>
      <c r="FJ485" s="302"/>
      <c r="FK485" s="302"/>
      <c r="FL485" s="302"/>
      <c r="FM485" s="302"/>
      <c r="FN485" s="302"/>
      <c r="FO485" s="302"/>
      <c r="FP485" s="302"/>
      <c r="FQ485" s="302"/>
      <c r="FR485" s="302"/>
      <c r="FS485" s="302"/>
      <c r="FT485" s="302"/>
      <c r="FU485" s="302"/>
      <c r="FV485" s="302"/>
      <c r="FW485" s="302"/>
      <c r="FX485" s="302"/>
      <c r="FY485" s="302"/>
      <c r="FZ485" s="302"/>
      <c r="GA485" s="302"/>
      <c r="GB485" s="302"/>
      <c r="GC485" s="302"/>
      <c r="GD485" s="302"/>
      <c r="GE485" s="302"/>
      <c r="GF485" s="302"/>
      <c r="GG485" s="302"/>
      <c r="GH485" s="302"/>
      <c r="GI485" s="302"/>
      <c r="GJ485" s="302"/>
      <c r="GK485" s="302"/>
      <c r="GL485" s="302"/>
      <c r="GM485" s="302"/>
      <c r="GN485" s="302"/>
      <c r="GO485" s="302"/>
      <c r="GP485" s="302"/>
      <c r="GQ485" s="302"/>
      <c r="GR485" s="302"/>
      <c r="GS485" s="302"/>
      <c r="GT485" s="302"/>
      <c r="GU485" s="302"/>
      <c r="GV485" s="302"/>
      <c r="GW485" s="302"/>
      <c r="GX485" s="302"/>
      <c r="GY485" s="302"/>
      <c r="GZ485" s="302"/>
      <c r="HA485" s="302"/>
      <c r="HB485" s="302"/>
      <c r="HC485" s="302"/>
      <c r="HD485" s="302"/>
      <c r="HE485" s="302"/>
      <c r="HF485" s="302"/>
      <c r="HG485" s="302"/>
      <c r="HH485" s="302"/>
      <c r="HI485" s="302"/>
      <c r="HJ485" s="302"/>
      <c r="HK485" s="302"/>
      <c r="HL485" s="302"/>
      <c r="HM485" s="302"/>
      <c r="HN485" s="302"/>
      <c r="HO485" s="302"/>
      <c r="HP485" s="302"/>
      <c r="HQ485" s="302"/>
      <c r="HR485" s="302"/>
      <c r="HS485" s="302"/>
      <c r="HT485" s="302"/>
      <c r="HU485" s="302"/>
      <c r="HV485" s="302"/>
      <c r="HW485" s="302"/>
      <c r="HX485" s="302"/>
      <c r="HY485" s="302"/>
      <c r="HZ485" s="302"/>
      <c r="IA485" s="302"/>
      <c r="IB485" s="302"/>
      <c r="IC485" s="302"/>
      <c r="ID485" s="302"/>
      <c r="IE485" s="302"/>
      <c r="IF485" s="302"/>
      <c r="IG485" s="302"/>
      <c r="IH485" s="302"/>
      <c r="II485" s="302"/>
      <c r="IJ485" s="302"/>
      <c r="IK485" s="302"/>
      <c r="IL485" s="302"/>
      <c r="IM485" s="302"/>
      <c r="IN485" s="302"/>
      <c r="IO485" s="302"/>
      <c r="IP485" s="302"/>
      <c r="IQ485" s="302"/>
      <c r="IR485" s="302"/>
      <c r="IS485" s="302"/>
      <c r="IT485" s="302"/>
      <c r="IU485" s="302"/>
      <c r="IV485" s="302"/>
    </row>
    <row r="486" spans="1:256" ht="23.25">
      <c r="A486" s="309" t="s">
        <v>513</v>
      </c>
      <c r="B486" s="294" t="s">
        <v>724</v>
      </c>
      <c r="C486" s="295">
        <f t="shared" si="104"/>
        <v>0.2</v>
      </c>
      <c r="D486" s="310"/>
      <c r="E486" s="299">
        <v>49647.895000000004</v>
      </c>
      <c r="F486" s="311"/>
      <c r="G486" s="298">
        <f t="shared" si="100"/>
        <v>1.0000001007092043</v>
      </c>
      <c r="H486" s="299">
        <f t="shared" si="103"/>
        <v>49647.9</v>
      </c>
      <c r="I486" s="299">
        <v>0</v>
      </c>
      <c r="J486" s="298">
        <f t="shared" si="38"/>
        <v>1.0000001007092043</v>
      </c>
      <c r="K486" s="300">
        <v>49647.9</v>
      </c>
      <c r="M486" s="174">
        <f t="shared" si="1"/>
        <v>49647.9</v>
      </c>
      <c r="O486" s="144"/>
      <c r="FH486" s="302"/>
      <c r="FI486" s="302"/>
      <c r="FJ486" s="302"/>
      <c r="FK486" s="302"/>
      <c r="FL486" s="302"/>
      <c r="FM486" s="302"/>
      <c r="FN486" s="302"/>
      <c r="FO486" s="302"/>
      <c r="FP486" s="302"/>
      <c r="FQ486" s="302"/>
      <c r="FR486" s="302"/>
      <c r="FS486" s="302"/>
      <c r="FT486" s="302"/>
      <c r="FU486" s="302"/>
      <c r="FV486" s="302"/>
      <c r="FW486" s="302"/>
      <c r="FX486" s="302"/>
      <c r="FY486" s="302"/>
      <c r="FZ486" s="302"/>
      <c r="GA486" s="302"/>
      <c r="GB486" s="302"/>
      <c r="GC486" s="302"/>
      <c r="GD486" s="302"/>
      <c r="GE486" s="302"/>
      <c r="GF486" s="302"/>
      <c r="GG486" s="302"/>
      <c r="GH486" s="302"/>
      <c r="GI486" s="302"/>
      <c r="GJ486" s="302"/>
      <c r="GK486" s="302"/>
      <c r="GL486" s="302"/>
      <c r="GM486" s="302"/>
      <c r="GN486" s="302"/>
      <c r="GO486" s="302"/>
      <c r="GP486" s="302"/>
      <c r="GQ486" s="302"/>
      <c r="GR486" s="302"/>
      <c r="GS486" s="302"/>
      <c r="GT486" s="302"/>
      <c r="GU486" s="302"/>
      <c r="GV486" s="302"/>
      <c r="GW486" s="302"/>
      <c r="GX486" s="302"/>
      <c r="GY486" s="302"/>
      <c r="GZ486" s="302"/>
      <c r="HA486" s="302"/>
      <c r="HB486" s="302"/>
      <c r="HC486" s="302"/>
      <c r="HD486" s="302"/>
      <c r="HE486" s="302"/>
      <c r="HF486" s="302"/>
      <c r="HG486" s="302"/>
      <c r="HH486" s="302"/>
      <c r="HI486" s="302"/>
      <c r="HJ486" s="302"/>
      <c r="HK486" s="302"/>
      <c r="HL486" s="302"/>
      <c r="HM486" s="302"/>
      <c r="HN486" s="302"/>
      <c r="HO486" s="302"/>
      <c r="HP486" s="302"/>
      <c r="HQ486" s="302"/>
      <c r="HR486" s="302"/>
      <c r="HS486" s="302"/>
      <c r="HT486" s="302"/>
      <c r="HU486" s="302"/>
      <c r="HV486" s="302"/>
      <c r="HW486" s="302"/>
      <c r="HX486" s="302"/>
      <c r="HY486" s="302"/>
      <c r="HZ486" s="302"/>
      <c r="IA486" s="302"/>
      <c r="IB486" s="302"/>
      <c r="IC486" s="302"/>
      <c r="ID486" s="302"/>
      <c r="IE486" s="302"/>
      <c r="IF486" s="302"/>
      <c r="IG486" s="302"/>
      <c r="IH486" s="302"/>
      <c r="II486" s="302"/>
      <c r="IJ486" s="302"/>
      <c r="IK486" s="302"/>
      <c r="IL486" s="302"/>
      <c r="IM486" s="302"/>
      <c r="IN486" s="302"/>
      <c r="IO486" s="302"/>
      <c r="IP486" s="302"/>
      <c r="IQ486" s="302"/>
      <c r="IR486" s="302"/>
      <c r="IS486" s="302"/>
      <c r="IT486" s="302"/>
      <c r="IU486" s="302"/>
      <c r="IV486" s="302"/>
    </row>
    <row r="487" spans="1:15" ht="87">
      <c r="A487" s="243" t="s">
        <v>64</v>
      </c>
      <c r="B487" s="244" t="s">
        <v>725</v>
      </c>
      <c r="C487" s="245">
        <v>0.4</v>
      </c>
      <c r="D487" s="246">
        <v>180537.8</v>
      </c>
      <c r="E487" s="246">
        <f aca="true" t="shared" si="105" ref="E487:E488">$E$482*C487</f>
        <v>180537.80000000002</v>
      </c>
      <c r="F487" s="247"/>
      <c r="G487" s="248">
        <f t="shared" si="100"/>
        <v>0.9999999999999999</v>
      </c>
      <c r="H487" s="249">
        <f t="shared" si="103"/>
        <v>180537.8</v>
      </c>
      <c r="I487" s="249">
        <v>108322.68</v>
      </c>
      <c r="J487" s="248">
        <f t="shared" si="38"/>
        <v>0.4</v>
      </c>
      <c r="K487" s="250">
        <f>0.4*E487</f>
        <v>72215.12000000001</v>
      </c>
      <c r="M487" s="174">
        <f t="shared" si="1"/>
        <v>72215.12</v>
      </c>
      <c r="O487" s="144"/>
    </row>
    <row r="488" spans="1:15" ht="43.5">
      <c r="A488" s="259" t="s">
        <v>66</v>
      </c>
      <c r="B488" s="260" t="s">
        <v>726</v>
      </c>
      <c r="C488" s="261">
        <v>0.05</v>
      </c>
      <c r="D488" s="262">
        <v>22567.225000000002</v>
      </c>
      <c r="E488" s="262">
        <f t="shared" si="105"/>
        <v>22567.225000000002</v>
      </c>
      <c r="F488" s="263"/>
      <c r="G488" s="264">
        <f t="shared" si="100"/>
        <v>1.0000001107801246</v>
      </c>
      <c r="H488" s="265">
        <f t="shared" si="103"/>
        <v>22567.2275</v>
      </c>
      <c r="I488" s="265">
        <v>15797.06</v>
      </c>
      <c r="J488" s="264">
        <f t="shared" si="38"/>
        <v>0.3</v>
      </c>
      <c r="K488" s="266">
        <f>0.3*E488</f>
        <v>6770.1675000000005</v>
      </c>
      <c r="M488" s="174">
        <f t="shared" si="1"/>
        <v>6770.167500000001</v>
      </c>
      <c r="O488" s="144"/>
    </row>
    <row r="489" spans="1:15" ht="23.25">
      <c r="A489" s="275">
        <v>3</v>
      </c>
      <c r="B489" s="276" t="s">
        <v>727</v>
      </c>
      <c r="C489" s="277">
        <v>0.02</v>
      </c>
      <c r="D489" s="278">
        <v>24397</v>
      </c>
      <c r="E489" s="278">
        <f aca="true" t="shared" si="106" ref="E489:E493">$E$471*C489</f>
        <v>24397</v>
      </c>
      <c r="F489" s="279"/>
      <c r="G489" s="232">
        <f t="shared" si="100"/>
        <v>1</v>
      </c>
      <c r="H489" s="233">
        <f t="shared" si="103"/>
        <v>24397</v>
      </c>
      <c r="I489" s="233">
        <v>0</v>
      </c>
      <c r="J489" s="267">
        <f t="shared" si="38"/>
        <v>1</v>
      </c>
      <c r="K489" s="234">
        <v>24397</v>
      </c>
      <c r="M489" s="174">
        <f t="shared" si="1"/>
        <v>24397</v>
      </c>
      <c r="O489" s="144"/>
    </row>
    <row r="490" spans="1:15" ht="23.25">
      <c r="A490" s="275">
        <v>4</v>
      </c>
      <c r="B490" s="276" t="s">
        <v>728</v>
      </c>
      <c r="C490" s="277">
        <v>0.02</v>
      </c>
      <c r="D490" s="278">
        <v>24397</v>
      </c>
      <c r="E490" s="278">
        <f t="shared" si="106"/>
        <v>24397</v>
      </c>
      <c r="F490" s="279"/>
      <c r="G490" s="232">
        <f t="shared" si="100"/>
        <v>1</v>
      </c>
      <c r="H490" s="233">
        <f t="shared" si="103"/>
        <v>24397</v>
      </c>
      <c r="I490" s="233">
        <v>0</v>
      </c>
      <c r="J490" s="267">
        <f t="shared" si="38"/>
        <v>1</v>
      </c>
      <c r="K490" s="234">
        <v>24397</v>
      </c>
      <c r="M490" s="174">
        <f t="shared" si="1"/>
        <v>24397</v>
      </c>
      <c r="O490" s="144"/>
    </row>
    <row r="491" spans="1:15" ht="23.25">
      <c r="A491" s="275">
        <v>5</v>
      </c>
      <c r="B491" s="276" t="s">
        <v>729</v>
      </c>
      <c r="C491" s="277">
        <v>0.01</v>
      </c>
      <c r="D491" s="278">
        <v>12198.5</v>
      </c>
      <c r="E491" s="278">
        <f t="shared" si="106"/>
        <v>12198.5</v>
      </c>
      <c r="F491" s="279"/>
      <c r="G491" s="232">
        <f t="shared" si="100"/>
        <v>1</v>
      </c>
      <c r="H491" s="233">
        <f t="shared" si="103"/>
        <v>12198.5</v>
      </c>
      <c r="I491" s="233">
        <v>0</v>
      </c>
      <c r="J491" s="267">
        <f t="shared" si="38"/>
        <v>1</v>
      </c>
      <c r="K491" s="234">
        <v>12198.5</v>
      </c>
      <c r="M491" s="174">
        <f t="shared" si="1"/>
        <v>12198.5</v>
      </c>
      <c r="O491" s="144"/>
    </row>
    <row r="492" spans="1:15" ht="23.25">
      <c r="A492" s="275">
        <v>6</v>
      </c>
      <c r="B492" s="276" t="s">
        <v>730</v>
      </c>
      <c r="C492" s="277">
        <v>0.01</v>
      </c>
      <c r="D492" s="278">
        <v>12198.5</v>
      </c>
      <c r="E492" s="278">
        <f t="shared" si="106"/>
        <v>12198.5</v>
      </c>
      <c r="F492" s="279"/>
      <c r="G492" s="232">
        <f t="shared" si="100"/>
        <v>1</v>
      </c>
      <c r="H492" s="233">
        <f t="shared" si="103"/>
        <v>12198.5</v>
      </c>
      <c r="I492" s="233">
        <v>0</v>
      </c>
      <c r="J492" s="267">
        <f t="shared" si="38"/>
        <v>1</v>
      </c>
      <c r="K492" s="234">
        <v>12198.5</v>
      </c>
      <c r="M492" s="174">
        <f t="shared" si="1"/>
        <v>12198.5</v>
      </c>
      <c r="O492" s="144"/>
    </row>
    <row r="493" spans="1:15" ht="43.5">
      <c r="A493" s="275">
        <v>7</v>
      </c>
      <c r="B493" s="276" t="s">
        <v>731</v>
      </c>
      <c r="C493" s="277">
        <v>0.04</v>
      </c>
      <c r="D493" s="278">
        <v>48794</v>
      </c>
      <c r="E493" s="278">
        <f t="shared" si="106"/>
        <v>48794</v>
      </c>
      <c r="F493" s="279"/>
      <c r="G493" s="232">
        <f t="shared" si="100"/>
        <v>1</v>
      </c>
      <c r="H493" s="233">
        <f t="shared" si="103"/>
        <v>48794</v>
      </c>
      <c r="I493" s="233">
        <v>29276.4</v>
      </c>
      <c r="J493" s="267">
        <f t="shared" si="38"/>
        <v>0.4</v>
      </c>
      <c r="K493" s="234">
        <f>0.4*E493</f>
        <v>19517.600000000002</v>
      </c>
      <c r="M493" s="174">
        <f t="shared" si="1"/>
        <v>19517.6</v>
      </c>
      <c r="O493" s="144"/>
    </row>
    <row r="494" spans="1:15" ht="65.25">
      <c r="A494" s="268" t="s">
        <v>732</v>
      </c>
      <c r="B494" s="269" t="s">
        <v>733</v>
      </c>
      <c r="C494" s="268" t="s">
        <v>734</v>
      </c>
      <c r="D494" s="270">
        <v>236100</v>
      </c>
      <c r="E494" s="270">
        <f>$K$8*0.6%</f>
        <v>236100</v>
      </c>
      <c r="F494" s="271">
        <f>SUM(E495:E501)</f>
        <v>236100</v>
      </c>
      <c r="G494" s="434">
        <f>H494/E494</f>
        <v>0.168</v>
      </c>
      <c r="H494" s="273">
        <f>SUM(H495:H501)</f>
        <v>39664.8</v>
      </c>
      <c r="I494" s="273">
        <f>SUM(I495:I501)</f>
        <v>39664.8</v>
      </c>
      <c r="J494" s="434">
        <f t="shared" si="38"/>
        <v>0</v>
      </c>
      <c r="K494" s="274">
        <f>SUM(K495:K501)</f>
        <v>0</v>
      </c>
      <c r="M494" s="174">
        <f t="shared" si="1"/>
        <v>0</v>
      </c>
      <c r="O494" s="144"/>
    </row>
    <row r="495" spans="1:15" ht="23.25">
      <c r="A495" s="275">
        <v>1</v>
      </c>
      <c r="B495" s="276" t="s">
        <v>735</v>
      </c>
      <c r="C495" s="277">
        <v>0.04</v>
      </c>
      <c r="D495" s="278">
        <v>9444</v>
      </c>
      <c r="E495" s="278">
        <f aca="true" t="shared" si="107" ref="E495:E501">$E$494*C495</f>
        <v>9444</v>
      </c>
      <c r="F495" s="279"/>
      <c r="G495" s="232">
        <f aca="true" t="shared" si="108" ref="G495:G503">+H495/E495</f>
        <v>0</v>
      </c>
      <c r="H495" s="233">
        <f aca="true" t="shared" si="109" ref="H495:H503">+I495+K495</f>
        <v>0</v>
      </c>
      <c r="I495" s="233">
        <v>0</v>
      </c>
      <c r="J495" s="267">
        <f t="shared" si="38"/>
        <v>0</v>
      </c>
      <c r="K495" s="234">
        <v>0</v>
      </c>
      <c r="M495" s="174">
        <f t="shared" si="1"/>
        <v>0</v>
      </c>
      <c r="O495" s="144"/>
    </row>
    <row r="496" spans="1:15" ht="23.25">
      <c r="A496" s="275">
        <v>2</v>
      </c>
      <c r="B496" s="276" t="s">
        <v>736</v>
      </c>
      <c r="C496" s="277">
        <v>0.35</v>
      </c>
      <c r="D496" s="278">
        <v>82635</v>
      </c>
      <c r="E496" s="278">
        <f t="shared" si="107"/>
        <v>82635</v>
      </c>
      <c r="F496" s="279"/>
      <c r="G496" s="232">
        <f t="shared" si="108"/>
        <v>0</v>
      </c>
      <c r="H496" s="233">
        <f t="shared" si="109"/>
        <v>0</v>
      </c>
      <c r="I496" s="233">
        <v>0</v>
      </c>
      <c r="J496" s="267">
        <f t="shared" si="38"/>
        <v>0</v>
      </c>
      <c r="K496" s="234">
        <v>0</v>
      </c>
      <c r="M496" s="174">
        <f t="shared" si="1"/>
        <v>0</v>
      </c>
      <c r="O496" s="144"/>
    </row>
    <row r="497" spans="1:15" ht="23.25">
      <c r="A497" s="275">
        <v>3</v>
      </c>
      <c r="B497" s="276" t="s">
        <v>737</v>
      </c>
      <c r="C497" s="277">
        <v>0.02</v>
      </c>
      <c r="D497" s="278">
        <v>4722</v>
      </c>
      <c r="E497" s="278">
        <f t="shared" si="107"/>
        <v>4722</v>
      </c>
      <c r="F497" s="279"/>
      <c r="G497" s="232">
        <f t="shared" si="108"/>
        <v>0</v>
      </c>
      <c r="H497" s="233">
        <f t="shared" si="109"/>
        <v>0</v>
      </c>
      <c r="I497" s="233">
        <v>0</v>
      </c>
      <c r="J497" s="267">
        <f t="shared" si="38"/>
        <v>0</v>
      </c>
      <c r="K497" s="234">
        <v>0</v>
      </c>
      <c r="M497" s="174">
        <f t="shared" si="1"/>
        <v>0</v>
      </c>
      <c r="O497" s="144"/>
    </row>
    <row r="498" spans="1:15" ht="23.25">
      <c r="A498" s="275">
        <v>4</v>
      </c>
      <c r="B498" s="276" t="s">
        <v>738</v>
      </c>
      <c r="C498" s="277">
        <v>0.08</v>
      </c>
      <c r="D498" s="278">
        <v>18888</v>
      </c>
      <c r="E498" s="278">
        <f t="shared" si="107"/>
        <v>18888</v>
      </c>
      <c r="F498" s="279"/>
      <c r="G498" s="232">
        <f t="shared" si="108"/>
        <v>0</v>
      </c>
      <c r="H498" s="233">
        <f t="shared" si="109"/>
        <v>0</v>
      </c>
      <c r="I498" s="233">
        <v>0</v>
      </c>
      <c r="J498" s="267">
        <f t="shared" si="38"/>
        <v>0</v>
      </c>
      <c r="K498" s="234">
        <v>0</v>
      </c>
      <c r="M498" s="174">
        <f t="shared" si="1"/>
        <v>0</v>
      </c>
      <c r="O498" s="144"/>
    </row>
    <row r="499" spans="1:15" ht="23.25">
      <c r="A499" s="275">
        <v>5</v>
      </c>
      <c r="B499" s="276" t="s">
        <v>739</v>
      </c>
      <c r="C499" s="277">
        <v>0.07</v>
      </c>
      <c r="D499" s="278">
        <v>16527</v>
      </c>
      <c r="E499" s="278">
        <f t="shared" si="107"/>
        <v>16527</v>
      </c>
      <c r="F499" s="279"/>
      <c r="G499" s="232">
        <f t="shared" si="108"/>
        <v>0</v>
      </c>
      <c r="H499" s="233">
        <f t="shared" si="109"/>
        <v>0</v>
      </c>
      <c r="I499" s="233">
        <v>0</v>
      </c>
      <c r="J499" s="267">
        <f t="shared" si="38"/>
        <v>0</v>
      </c>
      <c r="K499" s="234">
        <v>0</v>
      </c>
      <c r="M499" s="174">
        <f t="shared" si="1"/>
        <v>0</v>
      </c>
      <c r="O499" s="144"/>
    </row>
    <row r="500" spans="1:15" ht="23.25">
      <c r="A500" s="275">
        <v>6</v>
      </c>
      <c r="B500" s="276" t="s">
        <v>740</v>
      </c>
      <c r="C500" s="277">
        <v>0.42</v>
      </c>
      <c r="D500" s="278">
        <v>99162</v>
      </c>
      <c r="E500" s="278">
        <f t="shared" si="107"/>
        <v>99162</v>
      </c>
      <c r="F500" s="279"/>
      <c r="G500" s="232">
        <f t="shared" si="108"/>
        <v>0.4</v>
      </c>
      <c r="H500" s="233">
        <f t="shared" si="109"/>
        <v>39664.8</v>
      </c>
      <c r="I500" s="233">
        <v>39664.8</v>
      </c>
      <c r="J500" s="267">
        <f t="shared" si="38"/>
        <v>0</v>
      </c>
      <c r="K500" s="234">
        <v>0</v>
      </c>
      <c r="M500" s="174">
        <f t="shared" si="1"/>
        <v>0</v>
      </c>
      <c r="O500" s="144"/>
    </row>
    <row r="501" spans="1:15" ht="23.25">
      <c r="A501" s="397">
        <v>7</v>
      </c>
      <c r="B501" s="398" t="s">
        <v>741</v>
      </c>
      <c r="C501" s="399">
        <v>0.02</v>
      </c>
      <c r="D501" s="400">
        <v>4722</v>
      </c>
      <c r="E501" s="400">
        <f t="shared" si="107"/>
        <v>4722</v>
      </c>
      <c r="F501" s="402"/>
      <c r="G501" s="425">
        <f t="shared" si="108"/>
        <v>0</v>
      </c>
      <c r="H501" s="401">
        <f t="shared" si="109"/>
        <v>0</v>
      </c>
      <c r="I501" s="401">
        <v>0</v>
      </c>
      <c r="J501" s="403">
        <f t="shared" si="38"/>
        <v>0</v>
      </c>
      <c r="K501" s="404">
        <v>0</v>
      </c>
      <c r="M501" s="174">
        <f t="shared" si="1"/>
        <v>0</v>
      </c>
      <c r="O501" s="144"/>
    </row>
    <row r="502" spans="1:15" ht="23.25">
      <c r="A502" s="488" t="s">
        <v>566</v>
      </c>
      <c r="B502" s="489" t="s">
        <v>742</v>
      </c>
      <c r="C502" s="464">
        <f>+E502/E501</f>
        <v>0.5</v>
      </c>
      <c r="D502" s="379">
        <v>2361</v>
      </c>
      <c r="E502" s="379">
        <v>2361</v>
      </c>
      <c r="F502" s="380"/>
      <c r="G502" s="381">
        <f t="shared" si="108"/>
        <v>0</v>
      </c>
      <c r="H502" s="382">
        <f t="shared" si="109"/>
        <v>0</v>
      </c>
      <c r="I502" s="382">
        <v>0</v>
      </c>
      <c r="J502" s="490">
        <f t="shared" si="38"/>
        <v>0</v>
      </c>
      <c r="K502" s="383">
        <v>0</v>
      </c>
      <c r="M502" s="174">
        <f t="shared" si="1"/>
        <v>0</v>
      </c>
      <c r="O502" s="144"/>
    </row>
    <row r="503" spans="1:15" ht="23.25">
      <c r="A503" s="488" t="s">
        <v>576</v>
      </c>
      <c r="B503" s="489" t="s">
        <v>743</v>
      </c>
      <c r="C503" s="464">
        <f>+E503/E501</f>
        <v>0.5</v>
      </c>
      <c r="D503" s="379">
        <v>2361</v>
      </c>
      <c r="E503" s="379">
        <v>2361</v>
      </c>
      <c r="F503" s="380"/>
      <c r="G503" s="381">
        <f t="shared" si="108"/>
        <v>0</v>
      </c>
      <c r="H503" s="382">
        <f t="shared" si="109"/>
        <v>0</v>
      </c>
      <c r="I503" s="382">
        <v>0</v>
      </c>
      <c r="J503" s="490">
        <f t="shared" si="38"/>
        <v>0</v>
      </c>
      <c r="K503" s="383">
        <v>0</v>
      </c>
      <c r="M503" s="174">
        <f t="shared" si="1"/>
        <v>0</v>
      </c>
      <c r="O503" s="144"/>
    </row>
    <row r="504" spans="1:15" ht="23.25">
      <c r="A504" s="268" t="s">
        <v>744</v>
      </c>
      <c r="B504" s="269" t="s">
        <v>745</v>
      </c>
      <c r="C504" s="268" t="s">
        <v>746</v>
      </c>
      <c r="D504" s="270">
        <v>511550</v>
      </c>
      <c r="E504" s="270">
        <f>$K$8*1.3%</f>
        <v>511550.00000000006</v>
      </c>
      <c r="F504" s="271">
        <f>SUM(E505:E508)</f>
        <v>511550</v>
      </c>
      <c r="G504" s="434">
        <f>H504/E504</f>
        <v>0.9999999999999999</v>
      </c>
      <c r="H504" s="273">
        <f>SUM(H505:H508)</f>
        <v>511550</v>
      </c>
      <c r="I504" s="273">
        <f>SUM(I505:I508)</f>
        <v>511550</v>
      </c>
      <c r="J504" s="434">
        <f t="shared" si="38"/>
        <v>0</v>
      </c>
      <c r="K504" s="274">
        <f>SUM(K505:K508)</f>
        <v>0</v>
      </c>
      <c r="M504" s="174">
        <f t="shared" si="1"/>
        <v>0</v>
      </c>
      <c r="O504" s="144"/>
    </row>
    <row r="505" spans="1:15" ht="23.25">
      <c r="A505" s="275">
        <v>1</v>
      </c>
      <c r="B505" s="276" t="s">
        <v>747</v>
      </c>
      <c r="C505" s="277">
        <v>0.72</v>
      </c>
      <c r="D505" s="278">
        <v>368316</v>
      </c>
      <c r="E505" s="278">
        <f aca="true" t="shared" si="110" ref="E505:E508">$E$504*C505</f>
        <v>368316</v>
      </c>
      <c r="F505" s="279"/>
      <c r="G505" s="232">
        <f aca="true" t="shared" si="111" ref="G505:G509">+H505/E505</f>
        <v>1</v>
      </c>
      <c r="H505" s="233">
        <v>368316</v>
      </c>
      <c r="I505" s="233">
        <v>368316</v>
      </c>
      <c r="J505" s="267">
        <f t="shared" si="38"/>
        <v>0</v>
      </c>
      <c r="K505" s="234">
        <v>0</v>
      </c>
      <c r="M505" s="174">
        <f t="shared" si="1"/>
        <v>0</v>
      </c>
      <c r="O505" s="144"/>
    </row>
    <row r="506" spans="1:15" ht="23.25">
      <c r="A506" s="275">
        <v>2</v>
      </c>
      <c r="B506" s="276" t="s">
        <v>748</v>
      </c>
      <c r="C506" s="277">
        <v>0.21</v>
      </c>
      <c r="D506" s="278">
        <v>107425.50000000001</v>
      </c>
      <c r="E506" s="278">
        <f t="shared" si="110"/>
        <v>107425.50000000001</v>
      </c>
      <c r="F506" s="279"/>
      <c r="G506" s="232">
        <f t="shared" si="111"/>
        <v>0.9999999999999999</v>
      </c>
      <c r="H506" s="233">
        <v>107425.5</v>
      </c>
      <c r="I506" s="233">
        <v>107425.5</v>
      </c>
      <c r="J506" s="267">
        <f t="shared" si="38"/>
        <v>0</v>
      </c>
      <c r="K506" s="234">
        <v>0</v>
      </c>
      <c r="M506" s="174">
        <f t="shared" si="1"/>
        <v>0</v>
      </c>
      <c r="O506" s="144"/>
    </row>
    <row r="507" spans="1:15" ht="23.25">
      <c r="A507" s="275">
        <v>3</v>
      </c>
      <c r="B507" s="276" t="s">
        <v>749</v>
      </c>
      <c r="C507" s="277">
        <v>0.005</v>
      </c>
      <c r="D507" s="278">
        <v>2557.7500000000005</v>
      </c>
      <c r="E507" s="278">
        <f t="shared" si="110"/>
        <v>2557.7500000000005</v>
      </c>
      <c r="F507" s="279"/>
      <c r="G507" s="232">
        <f t="shared" si="111"/>
        <v>0.9999999999999998</v>
      </c>
      <c r="H507" s="233">
        <v>2557.75</v>
      </c>
      <c r="I507" s="233">
        <v>2557.75</v>
      </c>
      <c r="J507" s="267">
        <f t="shared" si="38"/>
        <v>0</v>
      </c>
      <c r="K507" s="234">
        <v>0</v>
      </c>
      <c r="M507" s="174">
        <f t="shared" si="1"/>
        <v>0</v>
      </c>
      <c r="O507" s="144"/>
    </row>
    <row r="508" spans="1:15" ht="23.25">
      <c r="A508" s="275">
        <v>4</v>
      </c>
      <c r="B508" s="276" t="s">
        <v>741</v>
      </c>
      <c r="C508" s="277">
        <v>0.065</v>
      </c>
      <c r="D508" s="278">
        <v>33250.75000000001</v>
      </c>
      <c r="E508" s="278">
        <f t="shared" si="110"/>
        <v>33250.75000000001</v>
      </c>
      <c r="F508" s="279"/>
      <c r="G508" s="232">
        <f t="shared" si="111"/>
        <v>0.9999999999999998</v>
      </c>
      <c r="H508" s="233">
        <v>33250.75</v>
      </c>
      <c r="I508" s="233">
        <v>33250.75</v>
      </c>
      <c r="J508" s="267">
        <f t="shared" si="38"/>
        <v>0</v>
      </c>
      <c r="K508" s="234">
        <v>0</v>
      </c>
      <c r="M508" s="174">
        <f t="shared" si="1"/>
        <v>0</v>
      </c>
      <c r="O508" s="144"/>
    </row>
    <row r="509" spans="1:15" ht="23.25">
      <c r="A509" s="491"/>
      <c r="B509" s="492" t="s">
        <v>843</v>
      </c>
      <c r="C509" s="492"/>
      <c r="D509" s="493">
        <v>39350000</v>
      </c>
      <c r="E509" s="493">
        <f>+E11+E53+E167+E300+E376+E388+E399+E432+E443+E446+E465+E471+E494+E504</f>
        <v>39350000</v>
      </c>
      <c r="F509" s="493">
        <f>F11+F53+F167+F300+F376+F388+F399+F432+F443+F446+F465+F471+F494+F504</f>
        <v>68728711.75999999</v>
      </c>
      <c r="G509" s="494">
        <f t="shared" si="111"/>
        <v>0.9792123278870938</v>
      </c>
      <c r="H509" s="495">
        <f>+I509+K509</f>
        <v>38532005.10235714</v>
      </c>
      <c r="I509" s="496">
        <f>+I504+I494+I471+I465+I446+I443+I432+I399+I388+I376+I300+I167+I53+I11</f>
        <v>35645437.39535714</v>
      </c>
      <c r="J509" s="497">
        <f t="shared" si="38"/>
        <v>0.07335623143583227</v>
      </c>
      <c r="K509" s="498">
        <f>+K11+K53+K167+K300+K376+K388+K399+K432+K443+K446+K465+K471+K494+K504</f>
        <v>2886567.7069999995</v>
      </c>
      <c r="M509" s="499"/>
      <c r="O509" s="144"/>
    </row>
    <row r="510" spans="1:15" ht="23.25">
      <c r="A510" s="148"/>
      <c r="B510" s="148"/>
      <c r="C510" s="148"/>
      <c r="D510" s="500"/>
      <c r="E510" s="500"/>
      <c r="F510" s="500"/>
      <c r="G510" s="500"/>
      <c r="H510" s="501"/>
      <c r="I510" s="502" t="s">
        <v>844</v>
      </c>
      <c r="J510" s="502"/>
      <c r="K510" s="503">
        <f>K509</f>
        <v>2886567.7069999995</v>
      </c>
      <c r="O510" s="144"/>
    </row>
    <row r="511" spans="1:15" ht="12.75" customHeight="1">
      <c r="A511" s="154"/>
      <c r="B511" s="148" t="s">
        <v>845</v>
      </c>
      <c r="C511" s="148"/>
      <c r="D511" s="500" t="s">
        <v>846</v>
      </c>
      <c r="E511" s="500"/>
      <c r="F511" s="500"/>
      <c r="G511" s="500"/>
      <c r="H511" s="504"/>
      <c r="I511" s="505" t="s">
        <v>847</v>
      </c>
      <c r="J511" s="505"/>
      <c r="K511" s="506"/>
      <c r="O511" s="144"/>
    </row>
    <row r="512" spans="1:15" ht="23.25">
      <c r="A512" s="507"/>
      <c r="B512" s="507"/>
      <c r="C512" s="508"/>
      <c r="D512" s="509"/>
      <c r="E512" s="509"/>
      <c r="F512" s="508"/>
      <c r="G512" s="508"/>
      <c r="H512" s="508"/>
      <c r="I512" s="510"/>
      <c r="J512" s="510"/>
      <c r="K512" s="511"/>
      <c r="O512" s="144"/>
    </row>
    <row r="514" ht="23.25">
      <c r="I514" s="512"/>
    </row>
  </sheetData>
  <sheetProtection selectLockedCells="1" selectUnlockedCells="1"/>
  <mergeCells count="8">
    <mergeCell ref="B2:K2"/>
    <mergeCell ref="A3:K3"/>
    <mergeCell ref="A4:K4"/>
    <mergeCell ref="A5:K5"/>
    <mergeCell ref="A6:I6"/>
    <mergeCell ref="A7:K7"/>
    <mergeCell ref="E510:G510"/>
    <mergeCell ref="D511:G511"/>
  </mergeCells>
  <conditionalFormatting sqref="M509">
    <cfRule type="cellIs" priority="1" dxfId="0" operator="not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8" scale="37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9"/>
  <sheetViews>
    <sheetView zoomScale="70" zoomScaleNormal="70" workbookViewId="0" topLeftCell="A1">
      <pane ySplit="3" topLeftCell="A46" activePane="bottomLeft" state="frozen"/>
      <selection pane="topLeft" activeCell="A1" sqref="A1"/>
      <selection pane="bottomLeft" activeCell="J49" sqref="J49"/>
    </sheetView>
  </sheetViews>
  <sheetFormatPr defaultColWidth="9.140625" defaultRowHeight="15"/>
  <cols>
    <col min="1" max="1" width="9.7109375" style="0" customWidth="1"/>
    <col min="2" max="2" width="25.00390625" style="0" customWidth="1"/>
    <col min="3" max="3" width="18.421875" style="0" customWidth="1"/>
    <col min="4" max="4" width="33.421875" style="0" customWidth="1"/>
    <col min="5" max="5" width="35.421875" style="0" customWidth="1"/>
    <col min="6" max="6" width="24.421875" style="0" customWidth="1"/>
    <col min="7" max="7" width="19.57421875" style="0" customWidth="1"/>
    <col min="8" max="8" width="24.7109375" style="0" customWidth="1"/>
    <col min="9" max="9" width="21.57421875" style="0" customWidth="1"/>
    <col min="10" max="10" width="22.421875" style="0" customWidth="1"/>
    <col min="12" max="12" width="13.421875" style="0" customWidth="1"/>
    <col min="13" max="13" width="12.7109375" style="0" customWidth="1"/>
  </cols>
  <sheetData>
    <row r="1" spans="1:10" ht="15.75">
      <c r="A1" s="513"/>
      <c r="B1" s="513"/>
      <c r="C1" s="513"/>
      <c r="D1" s="514">
        <v>39350000</v>
      </c>
      <c r="E1" s="513"/>
      <c r="F1" s="513"/>
      <c r="G1" s="513"/>
      <c r="H1" s="515"/>
      <c r="I1" s="513"/>
      <c r="J1" s="513"/>
    </row>
    <row r="2" spans="1:10" ht="16.5" customHeight="1">
      <c r="A2" s="516" t="s">
        <v>848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0" ht="94.5">
      <c r="A3" s="517" t="s">
        <v>758</v>
      </c>
      <c r="B3" s="518" t="s">
        <v>759</v>
      </c>
      <c r="C3" s="518"/>
      <c r="D3" s="518" t="s">
        <v>760</v>
      </c>
      <c r="E3" s="519" t="s">
        <v>849</v>
      </c>
      <c r="F3" s="519" t="s">
        <v>850</v>
      </c>
      <c r="G3" s="519" t="s">
        <v>851</v>
      </c>
      <c r="H3" s="520" t="s">
        <v>852</v>
      </c>
      <c r="I3" s="518" t="s">
        <v>853</v>
      </c>
      <c r="J3" s="521" t="s">
        <v>854</v>
      </c>
    </row>
    <row r="4" spans="1:10" ht="15">
      <c r="A4" s="522" t="s">
        <v>855</v>
      </c>
      <c r="B4" s="523" t="s">
        <v>856</v>
      </c>
      <c r="C4" s="522" t="s">
        <v>857</v>
      </c>
      <c r="D4" s="523" t="s">
        <v>858</v>
      </c>
      <c r="E4" s="522" t="s">
        <v>859</v>
      </c>
      <c r="F4" s="523" t="s">
        <v>860</v>
      </c>
      <c r="G4" s="522" t="s">
        <v>861</v>
      </c>
      <c r="H4" s="523" t="s">
        <v>862</v>
      </c>
      <c r="I4" s="522" t="s">
        <v>863</v>
      </c>
      <c r="J4" s="524" t="s">
        <v>864</v>
      </c>
    </row>
    <row r="5" spans="1:10" ht="31.5">
      <c r="A5" s="525" t="s">
        <v>81</v>
      </c>
      <c r="B5" s="526" t="s">
        <v>82</v>
      </c>
      <c r="C5" s="527" t="s">
        <v>83</v>
      </c>
      <c r="D5" s="528">
        <f>D1*18.5%</f>
        <v>7279750</v>
      </c>
      <c r="E5" s="529">
        <f>G5+H5</f>
        <v>7279750.0024999995</v>
      </c>
      <c r="F5" s="530">
        <f aca="true" t="shared" si="0" ref="F5:F328">E5/D5</f>
        <v>1.0000000003434184</v>
      </c>
      <c r="G5" s="531">
        <f>G6+G30+G49+G116+0.01</f>
        <v>7255750.0024999995</v>
      </c>
      <c r="H5" s="531">
        <f>H6+H30+H49+H116</f>
        <v>24000</v>
      </c>
      <c r="I5" s="532">
        <f aca="true" t="shared" si="1" ref="I5:I315">H5/D5</f>
        <v>0.0032968165115560286</v>
      </c>
      <c r="J5" s="533" t="s">
        <v>865</v>
      </c>
    </row>
    <row r="6" spans="1:10" s="543" customFormat="1" ht="54.75" customHeight="1">
      <c r="A6" s="534">
        <v>1</v>
      </c>
      <c r="B6" s="535" t="s">
        <v>84</v>
      </c>
      <c r="C6" s="536">
        <v>0.05</v>
      </c>
      <c r="D6" s="537">
        <f>$D$5*C6</f>
        <v>363987.5</v>
      </c>
      <c r="E6" s="538">
        <f>SUM(E7:E29)</f>
        <v>363987.5025</v>
      </c>
      <c r="F6" s="539">
        <f t="shared" si="0"/>
        <v>1.0000000068683677</v>
      </c>
      <c r="G6" s="540">
        <f>SUM(G7:G29)</f>
        <v>363987.50249999994</v>
      </c>
      <c r="H6" s="540">
        <f>SUM(H7:H29)</f>
        <v>0</v>
      </c>
      <c r="I6" s="541">
        <f t="shared" si="1"/>
        <v>0</v>
      </c>
      <c r="J6" s="542" t="s">
        <v>865</v>
      </c>
    </row>
    <row r="7" spans="1:10" ht="15.75">
      <c r="A7" s="544" t="s">
        <v>10</v>
      </c>
      <c r="B7" s="545" t="s">
        <v>85</v>
      </c>
      <c r="C7" s="546">
        <v>0.188</v>
      </c>
      <c r="D7" s="547">
        <v>68433.9864110201</v>
      </c>
      <c r="E7" s="548">
        <f aca="true" t="shared" si="2" ref="E7:E29">G7+H7</f>
        <v>68433.9864110201</v>
      </c>
      <c r="F7" s="530">
        <f t="shared" si="0"/>
        <v>1</v>
      </c>
      <c r="G7" s="549">
        <v>68433.9864110201</v>
      </c>
      <c r="H7" s="531">
        <v>0</v>
      </c>
      <c r="I7" s="550">
        <f t="shared" si="1"/>
        <v>0</v>
      </c>
      <c r="J7" s="533" t="s">
        <v>865</v>
      </c>
    </row>
    <row r="8" spans="1:10" ht="15.75">
      <c r="A8" s="544" t="s">
        <v>20</v>
      </c>
      <c r="B8" s="545" t="s">
        <v>86</v>
      </c>
      <c r="C8" s="546">
        <v>0.203</v>
      </c>
      <c r="D8" s="547">
        <v>73896.84795001862</v>
      </c>
      <c r="E8" s="548">
        <f t="shared" si="2"/>
        <v>73896.84795001862</v>
      </c>
      <c r="F8" s="530">
        <f t="shared" si="0"/>
        <v>1</v>
      </c>
      <c r="G8" s="549">
        <v>73896.84795001862</v>
      </c>
      <c r="H8" s="531">
        <v>0</v>
      </c>
      <c r="I8" s="550">
        <f t="shared" si="1"/>
        <v>0</v>
      </c>
      <c r="J8" s="533" t="s">
        <v>866</v>
      </c>
    </row>
    <row r="9" spans="1:10" ht="15.75">
      <c r="A9" s="544" t="s">
        <v>87</v>
      </c>
      <c r="B9" s="545" t="s">
        <v>88</v>
      </c>
      <c r="C9" s="546">
        <v>0.0136</v>
      </c>
      <c r="D9" s="547">
        <v>4954.688372580045</v>
      </c>
      <c r="E9" s="548">
        <f t="shared" si="2"/>
        <v>4954.688372580045</v>
      </c>
      <c r="F9" s="530">
        <f t="shared" si="0"/>
        <v>1</v>
      </c>
      <c r="G9" s="549">
        <v>4954.688372580045</v>
      </c>
      <c r="H9" s="531">
        <v>0</v>
      </c>
      <c r="I9" s="550">
        <f t="shared" si="1"/>
        <v>0</v>
      </c>
      <c r="J9" s="533" t="s">
        <v>865</v>
      </c>
    </row>
    <row r="10" spans="1:10" ht="15.75">
      <c r="A10" s="544" t="s">
        <v>89</v>
      </c>
      <c r="B10" s="545" t="s">
        <v>90</v>
      </c>
      <c r="C10" s="546">
        <v>0.0027</v>
      </c>
      <c r="D10" s="547">
        <v>995.1724509028295</v>
      </c>
      <c r="E10" s="548">
        <f t="shared" si="2"/>
        <v>995.1724509028295</v>
      </c>
      <c r="F10" s="530">
        <f t="shared" si="0"/>
        <v>1</v>
      </c>
      <c r="G10" s="549">
        <v>995.1724509028295</v>
      </c>
      <c r="H10" s="531">
        <v>0</v>
      </c>
      <c r="I10" s="550">
        <f t="shared" si="1"/>
        <v>0</v>
      </c>
      <c r="J10" s="533" t="s">
        <v>865</v>
      </c>
    </row>
    <row r="11" spans="1:10" ht="15.75">
      <c r="A11" s="544" t="s">
        <v>91</v>
      </c>
      <c r="B11" s="545" t="s">
        <v>92</v>
      </c>
      <c r="C11" s="546">
        <v>0.0049</v>
      </c>
      <c r="D11" s="547">
        <v>1778.6060824646313</v>
      </c>
      <c r="E11" s="548">
        <f t="shared" si="2"/>
        <v>1778.6060824646313</v>
      </c>
      <c r="F11" s="530">
        <f t="shared" si="0"/>
        <v>1</v>
      </c>
      <c r="G11" s="549">
        <v>1778.6060824646313</v>
      </c>
      <c r="H11" s="531">
        <v>0</v>
      </c>
      <c r="I11" s="550">
        <f t="shared" si="1"/>
        <v>0</v>
      </c>
      <c r="J11" s="533" t="s">
        <v>865</v>
      </c>
    </row>
    <row r="12" spans="1:10" ht="15.75">
      <c r="A12" s="544" t="s">
        <v>93</v>
      </c>
      <c r="B12" s="545" t="s">
        <v>94</v>
      </c>
      <c r="C12" s="546">
        <v>0.0035</v>
      </c>
      <c r="D12" s="547">
        <v>1270.4329160461652</v>
      </c>
      <c r="E12" s="548">
        <f t="shared" si="2"/>
        <v>1270.4329160461652</v>
      </c>
      <c r="F12" s="530">
        <f t="shared" si="0"/>
        <v>1</v>
      </c>
      <c r="G12" s="549">
        <v>1270.4329160461652</v>
      </c>
      <c r="H12" s="531">
        <v>0</v>
      </c>
      <c r="I12" s="550">
        <f t="shared" si="1"/>
        <v>0</v>
      </c>
      <c r="J12" s="533" t="s">
        <v>865</v>
      </c>
    </row>
    <row r="13" spans="1:10" ht="15.75">
      <c r="A13" s="544" t="s">
        <v>95</v>
      </c>
      <c r="B13" s="545" t="s">
        <v>96</v>
      </c>
      <c r="C13" s="546">
        <v>0.032</v>
      </c>
      <c r="D13" s="547">
        <v>11645.635063756514</v>
      </c>
      <c r="E13" s="548">
        <f t="shared" si="2"/>
        <v>11645.635063756514</v>
      </c>
      <c r="F13" s="530">
        <f t="shared" si="0"/>
        <v>1</v>
      </c>
      <c r="G13" s="549">
        <v>11645.635063756514</v>
      </c>
      <c r="H13" s="531">
        <v>0</v>
      </c>
      <c r="I13" s="550">
        <f t="shared" si="1"/>
        <v>0</v>
      </c>
      <c r="J13" s="533" t="s">
        <v>865</v>
      </c>
    </row>
    <row r="14" spans="1:10" ht="15.75">
      <c r="A14" s="544" t="s">
        <v>97</v>
      </c>
      <c r="B14" s="545" t="s">
        <v>98</v>
      </c>
      <c r="C14" s="546">
        <v>0.0413</v>
      </c>
      <c r="D14" s="547">
        <v>15033.456173212953</v>
      </c>
      <c r="E14" s="548">
        <f t="shared" si="2"/>
        <v>15033.456173212953</v>
      </c>
      <c r="F14" s="530">
        <f t="shared" si="0"/>
        <v>1</v>
      </c>
      <c r="G14" s="549">
        <v>15033.456173212953</v>
      </c>
      <c r="H14" s="531">
        <v>0</v>
      </c>
      <c r="I14" s="550">
        <f t="shared" si="1"/>
        <v>0</v>
      </c>
      <c r="J14" s="533" t="s">
        <v>865</v>
      </c>
    </row>
    <row r="15" spans="1:10" ht="15.75">
      <c r="A15" s="544" t="s">
        <v>99</v>
      </c>
      <c r="B15" s="545" t="s">
        <v>100</v>
      </c>
      <c r="C15" s="546">
        <v>0.3106</v>
      </c>
      <c r="D15" s="547">
        <v>113068.52952810872</v>
      </c>
      <c r="E15" s="548">
        <f t="shared" si="2"/>
        <v>113068.52952810872</v>
      </c>
      <c r="F15" s="530">
        <f t="shared" si="0"/>
        <v>1</v>
      </c>
      <c r="G15" s="549">
        <v>113068.52952810872</v>
      </c>
      <c r="H15" s="531">
        <v>0</v>
      </c>
      <c r="I15" s="550">
        <f t="shared" si="1"/>
        <v>0</v>
      </c>
      <c r="J15" s="533" t="s">
        <v>865</v>
      </c>
    </row>
    <row r="16" spans="1:10" ht="15.75">
      <c r="A16" s="544" t="s">
        <v>101</v>
      </c>
      <c r="B16" s="545" t="s">
        <v>102</v>
      </c>
      <c r="C16" s="546">
        <v>0.0058</v>
      </c>
      <c r="D16" s="547">
        <v>2117.3881934102756</v>
      </c>
      <c r="E16" s="548">
        <f t="shared" si="2"/>
        <v>2117.3881934102756</v>
      </c>
      <c r="F16" s="530">
        <f t="shared" si="0"/>
        <v>1</v>
      </c>
      <c r="G16" s="549">
        <v>2117.3881934102756</v>
      </c>
      <c r="H16" s="531">
        <v>0</v>
      </c>
      <c r="I16" s="550">
        <f t="shared" si="1"/>
        <v>0</v>
      </c>
      <c r="J16" s="533" t="s">
        <v>865</v>
      </c>
    </row>
    <row r="17" spans="1:10" ht="15.75">
      <c r="A17" s="544" t="s">
        <v>103</v>
      </c>
      <c r="B17" s="545" t="s">
        <v>104</v>
      </c>
      <c r="C17" s="546">
        <v>0.0017</v>
      </c>
      <c r="D17" s="547">
        <v>635.2164580230826</v>
      </c>
      <c r="E17" s="548">
        <f t="shared" si="2"/>
        <v>635.2164580230826</v>
      </c>
      <c r="F17" s="530">
        <f t="shared" si="0"/>
        <v>1</v>
      </c>
      <c r="G17" s="549">
        <v>635.2164580230826</v>
      </c>
      <c r="H17" s="531">
        <v>0</v>
      </c>
      <c r="I17" s="550">
        <f t="shared" si="1"/>
        <v>0</v>
      </c>
      <c r="J17" s="533" t="s">
        <v>865</v>
      </c>
    </row>
    <row r="18" spans="1:10" ht="15.75">
      <c r="A18" s="544" t="s">
        <v>105</v>
      </c>
      <c r="B18" s="545" t="s">
        <v>106</v>
      </c>
      <c r="C18" s="546">
        <v>0.0341</v>
      </c>
      <c r="D18" s="547">
        <v>12407.894813384213</v>
      </c>
      <c r="E18" s="548">
        <f t="shared" si="2"/>
        <v>12407.894813384213</v>
      </c>
      <c r="F18" s="530">
        <f t="shared" si="0"/>
        <v>1</v>
      </c>
      <c r="G18" s="549">
        <v>12407.894813384213</v>
      </c>
      <c r="H18" s="531">
        <v>0</v>
      </c>
      <c r="I18" s="550">
        <f t="shared" si="1"/>
        <v>0</v>
      </c>
      <c r="J18" s="533" t="s">
        <v>865</v>
      </c>
    </row>
    <row r="19" spans="1:10" ht="15.75">
      <c r="A19" s="544" t="s">
        <v>107</v>
      </c>
      <c r="B19" s="545" t="s">
        <v>108</v>
      </c>
      <c r="C19" s="546">
        <v>0.0066</v>
      </c>
      <c r="D19" s="547">
        <v>2413.822540487714</v>
      </c>
      <c r="E19" s="548">
        <f t="shared" si="2"/>
        <v>2413.822540487714</v>
      </c>
      <c r="F19" s="530">
        <f t="shared" si="0"/>
        <v>1</v>
      </c>
      <c r="G19" s="549">
        <v>2413.822540487714</v>
      </c>
      <c r="H19" s="531">
        <v>0</v>
      </c>
      <c r="I19" s="550">
        <f t="shared" si="1"/>
        <v>0</v>
      </c>
      <c r="J19" s="533" t="s">
        <v>865</v>
      </c>
    </row>
    <row r="20" spans="1:10" ht="15.75">
      <c r="A20" s="544" t="s">
        <v>109</v>
      </c>
      <c r="B20" s="545" t="s">
        <v>110</v>
      </c>
      <c r="C20" s="546">
        <v>0.0116</v>
      </c>
      <c r="D20" s="547">
        <v>4234.776386820551</v>
      </c>
      <c r="E20" s="548">
        <f t="shared" si="2"/>
        <v>4234.776386820551</v>
      </c>
      <c r="F20" s="530">
        <f t="shared" si="0"/>
        <v>1</v>
      </c>
      <c r="G20" s="549">
        <v>4234.776386820551</v>
      </c>
      <c r="H20" s="531">
        <v>0</v>
      </c>
      <c r="I20" s="550">
        <f t="shared" si="1"/>
        <v>0</v>
      </c>
      <c r="J20" s="533" t="s">
        <v>865</v>
      </c>
    </row>
    <row r="21" spans="1:10" ht="15.75">
      <c r="A21" s="544" t="s">
        <v>111</v>
      </c>
      <c r="B21" s="545" t="s">
        <v>112</v>
      </c>
      <c r="C21" s="546">
        <v>0.0017</v>
      </c>
      <c r="D21" s="547">
        <v>614.0425760889799</v>
      </c>
      <c r="E21" s="548">
        <f t="shared" si="2"/>
        <v>614.0425760889799</v>
      </c>
      <c r="F21" s="530">
        <f t="shared" si="0"/>
        <v>1</v>
      </c>
      <c r="G21" s="549">
        <v>614.0425760889799</v>
      </c>
      <c r="H21" s="531">
        <v>0</v>
      </c>
      <c r="I21" s="550">
        <f t="shared" si="1"/>
        <v>0</v>
      </c>
      <c r="J21" s="533" t="s">
        <v>865</v>
      </c>
    </row>
    <row r="22" spans="1:10" ht="15.75">
      <c r="A22" s="544" t="s">
        <v>113</v>
      </c>
      <c r="B22" s="545" t="s">
        <v>114</v>
      </c>
      <c r="C22" s="546">
        <v>0.0033</v>
      </c>
      <c r="D22" s="547">
        <v>1185.7373883097544</v>
      </c>
      <c r="E22" s="548">
        <f t="shared" si="2"/>
        <v>1185.7373883097544</v>
      </c>
      <c r="F22" s="530">
        <f t="shared" si="0"/>
        <v>1</v>
      </c>
      <c r="G22" s="549">
        <v>1185.7373883097544</v>
      </c>
      <c r="H22" s="531">
        <v>0</v>
      </c>
      <c r="I22" s="550">
        <f t="shared" si="1"/>
        <v>0</v>
      </c>
      <c r="J22" s="533" t="s">
        <v>865</v>
      </c>
    </row>
    <row r="23" spans="1:10" ht="15.75">
      <c r="A23" s="544" t="s">
        <v>115</v>
      </c>
      <c r="B23" s="545" t="s">
        <v>116</v>
      </c>
      <c r="C23" s="546">
        <v>0.0036</v>
      </c>
      <c r="D23" s="547">
        <v>1295.8415743670887</v>
      </c>
      <c r="E23" s="548">
        <f t="shared" si="2"/>
        <v>1295.8415743670887</v>
      </c>
      <c r="F23" s="530">
        <f t="shared" si="0"/>
        <v>1</v>
      </c>
      <c r="G23" s="549">
        <v>1295.8415743670887</v>
      </c>
      <c r="H23" s="531">
        <v>0</v>
      </c>
      <c r="I23" s="550">
        <f t="shared" si="1"/>
        <v>0</v>
      </c>
      <c r="J23" s="533" t="s">
        <v>865</v>
      </c>
    </row>
    <row r="24" spans="1:10" ht="15.75">
      <c r="A24" s="544" t="s">
        <v>117</v>
      </c>
      <c r="B24" s="545" t="s">
        <v>118</v>
      </c>
      <c r="C24" s="546">
        <v>0.0066</v>
      </c>
      <c r="D24" s="547">
        <v>2413.822540487714</v>
      </c>
      <c r="E24" s="548">
        <f t="shared" si="2"/>
        <v>2413.822540487714</v>
      </c>
      <c r="F24" s="530">
        <f t="shared" si="0"/>
        <v>1</v>
      </c>
      <c r="G24" s="549">
        <v>2413.822540487714</v>
      </c>
      <c r="H24" s="531">
        <v>0</v>
      </c>
      <c r="I24" s="550">
        <f t="shared" si="1"/>
        <v>0</v>
      </c>
      <c r="J24" s="533" t="s">
        <v>865</v>
      </c>
    </row>
    <row r="25" spans="1:10" ht="15.75">
      <c r="A25" s="544" t="s">
        <v>119</v>
      </c>
      <c r="B25" s="545" t="s">
        <v>120</v>
      </c>
      <c r="C25" s="546">
        <v>0.0003</v>
      </c>
      <c r="D25" s="547">
        <v>93.16508051005212</v>
      </c>
      <c r="E25" s="548">
        <f t="shared" si="2"/>
        <v>93.16508051005212</v>
      </c>
      <c r="F25" s="530">
        <f t="shared" si="0"/>
        <v>1</v>
      </c>
      <c r="G25" s="549">
        <v>93.16508051005212</v>
      </c>
      <c r="H25" s="531">
        <v>0</v>
      </c>
      <c r="I25" s="550">
        <f t="shared" si="1"/>
        <v>0</v>
      </c>
      <c r="J25" s="533" t="s">
        <v>865</v>
      </c>
    </row>
    <row r="26" spans="1:10" ht="30">
      <c r="A26" s="544" t="s">
        <v>121</v>
      </c>
      <c r="B26" s="545" t="s">
        <v>122</v>
      </c>
      <c r="C26" s="546">
        <v>3.62</v>
      </c>
      <c r="D26" s="547">
        <v>13194.042644070925</v>
      </c>
      <c r="E26" s="548">
        <f t="shared" si="2"/>
        <v>13194.04</v>
      </c>
      <c r="F26" s="530">
        <f t="shared" si="0"/>
        <v>0.9999997996011537</v>
      </c>
      <c r="G26" s="549">
        <v>13194.04</v>
      </c>
      <c r="H26" s="531">
        <v>0</v>
      </c>
      <c r="I26" s="550">
        <f t="shared" si="1"/>
        <v>0</v>
      </c>
      <c r="J26" s="533" t="s">
        <v>865</v>
      </c>
    </row>
    <row r="27" spans="1:10" ht="30">
      <c r="A27" s="544" t="s">
        <v>123</v>
      </c>
      <c r="B27" s="545" t="s">
        <v>124</v>
      </c>
      <c r="C27" s="546">
        <v>0.0207</v>
      </c>
      <c r="D27" s="547">
        <v>7546.656238455856</v>
      </c>
      <c r="E27" s="548">
        <f t="shared" si="2"/>
        <v>7546.66</v>
      </c>
      <c r="F27" s="530">
        <f t="shared" si="0"/>
        <v>1.0000004984385171</v>
      </c>
      <c r="G27" s="549">
        <v>7546.66</v>
      </c>
      <c r="H27" s="531">
        <v>0</v>
      </c>
      <c r="I27" s="550">
        <f t="shared" si="1"/>
        <v>0</v>
      </c>
      <c r="J27" s="533" t="s">
        <v>865</v>
      </c>
    </row>
    <row r="28" spans="1:10" ht="15.75">
      <c r="A28" s="544" t="s">
        <v>125</v>
      </c>
      <c r="B28" s="545" t="s">
        <v>126</v>
      </c>
      <c r="C28" s="546">
        <v>0.008</v>
      </c>
      <c r="D28" s="547">
        <v>2907.73</v>
      </c>
      <c r="E28" s="548">
        <f t="shared" si="2"/>
        <v>2907.73</v>
      </c>
      <c r="F28" s="530">
        <f t="shared" si="0"/>
        <v>1</v>
      </c>
      <c r="G28" s="549">
        <v>2907.73</v>
      </c>
      <c r="H28" s="531">
        <v>0</v>
      </c>
      <c r="I28" s="550">
        <f t="shared" si="1"/>
        <v>0</v>
      </c>
      <c r="J28" s="533" t="s">
        <v>865</v>
      </c>
    </row>
    <row r="29" spans="1:10" ht="60">
      <c r="A29" s="544" t="s">
        <v>127</v>
      </c>
      <c r="B29" s="545" t="s">
        <v>128</v>
      </c>
      <c r="C29" s="546">
        <v>0.06</v>
      </c>
      <c r="D29" s="547">
        <v>21850.006926486887</v>
      </c>
      <c r="E29" s="548">
        <f t="shared" si="2"/>
        <v>21850.01</v>
      </c>
      <c r="F29" s="530">
        <f t="shared" si="0"/>
        <v>1.000000140664171</v>
      </c>
      <c r="G29" s="549">
        <v>21850.01</v>
      </c>
      <c r="H29" s="531">
        <v>0</v>
      </c>
      <c r="I29" s="550">
        <f t="shared" si="1"/>
        <v>0</v>
      </c>
      <c r="J29" s="533" t="s">
        <v>865</v>
      </c>
    </row>
    <row r="30" spans="1:10" ht="45">
      <c r="A30" s="534">
        <v>2</v>
      </c>
      <c r="B30" s="535" t="s">
        <v>867</v>
      </c>
      <c r="C30" s="536">
        <v>0.4</v>
      </c>
      <c r="D30" s="537">
        <f>$D$5*C30</f>
        <v>2911900</v>
      </c>
      <c r="E30" s="538">
        <f>SUM(E31,E32,E35,E38,E45)</f>
        <v>2911900</v>
      </c>
      <c r="F30" s="539">
        <f t="shared" si="0"/>
        <v>1</v>
      </c>
      <c r="G30" s="540">
        <f>SUM(G31,G32,G35,G38,G45)</f>
        <v>2887900</v>
      </c>
      <c r="H30" s="540">
        <f>SUM(H31,H32,H35,H38,H45)</f>
        <v>24000</v>
      </c>
      <c r="I30" s="541">
        <f t="shared" si="1"/>
        <v>0.008242041278890071</v>
      </c>
      <c r="J30" s="542" t="s">
        <v>865</v>
      </c>
    </row>
    <row r="31" spans="1:10" ht="30">
      <c r="A31" s="551" t="s">
        <v>62</v>
      </c>
      <c r="B31" s="552" t="s">
        <v>782</v>
      </c>
      <c r="C31" s="553">
        <v>0.2</v>
      </c>
      <c r="D31" s="554">
        <f aca="true" t="shared" si="3" ref="D31:D32">INT(C31*$D$30)</f>
        <v>582380</v>
      </c>
      <c r="E31" s="548">
        <f>G31+H31</f>
        <v>582380</v>
      </c>
      <c r="F31" s="530">
        <f t="shared" si="0"/>
        <v>1</v>
      </c>
      <c r="G31" s="531">
        <v>582380</v>
      </c>
      <c r="H31" s="531">
        <v>0</v>
      </c>
      <c r="I31" s="550">
        <f t="shared" si="1"/>
        <v>0</v>
      </c>
      <c r="J31" s="533" t="s">
        <v>865</v>
      </c>
    </row>
    <row r="32" spans="1:10" ht="15.75">
      <c r="A32" s="551" t="s">
        <v>64</v>
      </c>
      <c r="B32" s="552" t="s">
        <v>783</v>
      </c>
      <c r="C32" s="553">
        <v>0.1</v>
      </c>
      <c r="D32" s="554">
        <f t="shared" si="3"/>
        <v>291190</v>
      </c>
      <c r="E32" s="548">
        <f>SUM(E33:E34)</f>
        <v>291190</v>
      </c>
      <c r="F32" s="530">
        <f t="shared" si="0"/>
        <v>1</v>
      </c>
      <c r="G32" s="531">
        <f>SUM(G33:G34)</f>
        <v>291190</v>
      </c>
      <c r="H32" s="531">
        <f>SUM(H33:H34)</f>
        <v>0</v>
      </c>
      <c r="I32" s="550">
        <f t="shared" si="1"/>
        <v>0</v>
      </c>
      <c r="J32" s="533" t="s">
        <v>865</v>
      </c>
    </row>
    <row r="33" spans="1:10" s="565" customFormat="1" ht="15.75">
      <c r="A33" s="555" t="s">
        <v>132</v>
      </c>
      <c r="B33" s="556" t="s">
        <v>133</v>
      </c>
      <c r="C33" s="557">
        <v>0.21</v>
      </c>
      <c r="D33" s="558">
        <v>60000</v>
      </c>
      <c r="E33" s="559">
        <f aca="true" t="shared" si="4" ref="E33:E34">G33+H33</f>
        <v>60000</v>
      </c>
      <c r="F33" s="560">
        <f t="shared" si="0"/>
        <v>1</v>
      </c>
      <c r="G33" s="561">
        <v>60000</v>
      </c>
      <c r="H33" s="562">
        <v>0</v>
      </c>
      <c r="I33" s="563">
        <f t="shared" si="1"/>
        <v>0</v>
      </c>
      <c r="J33" s="564" t="s">
        <v>865</v>
      </c>
    </row>
    <row r="34" spans="1:10" s="565" customFormat="1" ht="15.75">
      <c r="A34" s="555" t="s">
        <v>134</v>
      </c>
      <c r="B34" s="556" t="s">
        <v>135</v>
      </c>
      <c r="C34" s="557">
        <v>0.79</v>
      </c>
      <c r="D34" s="558">
        <v>231190</v>
      </c>
      <c r="E34" s="559">
        <f t="shared" si="4"/>
        <v>231190</v>
      </c>
      <c r="F34" s="560">
        <f t="shared" si="0"/>
        <v>1</v>
      </c>
      <c r="G34" s="561">
        <v>231190</v>
      </c>
      <c r="H34" s="562"/>
      <c r="I34" s="563">
        <f t="shared" si="1"/>
        <v>0</v>
      </c>
      <c r="J34" s="564" t="s">
        <v>865</v>
      </c>
    </row>
    <row r="35" spans="1:10" ht="15.75">
      <c r="A35" s="551" t="s">
        <v>66</v>
      </c>
      <c r="B35" s="552" t="s">
        <v>136</v>
      </c>
      <c r="C35" s="553">
        <v>0.35</v>
      </c>
      <c r="D35" s="554">
        <f>INT(C35*$D$30)</f>
        <v>1019165</v>
      </c>
      <c r="E35" s="548">
        <f>SUM(E36:E37)</f>
        <v>1019165</v>
      </c>
      <c r="F35" s="530">
        <f t="shared" si="0"/>
        <v>1</v>
      </c>
      <c r="G35" s="531">
        <f>SUM(G36:G37)</f>
        <v>1019165</v>
      </c>
      <c r="H35" s="531">
        <f>SUM(H36:H37)</f>
        <v>0</v>
      </c>
      <c r="I35" s="550">
        <f t="shared" si="1"/>
        <v>0</v>
      </c>
      <c r="J35" s="533" t="s">
        <v>865</v>
      </c>
    </row>
    <row r="36" spans="1:10" s="565" customFormat="1" ht="30">
      <c r="A36" s="555" t="s">
        <v>137</v>
      </c>
      <c r="B36" s="556" t="s">
        <v>138</v>
      </c>
      <c r="C36" s="557">
        <v>0.7</v>
      </c>
      <c r="D36" s="558">
        <v>713415.5</v>
      </c>
      <c r="E36" s="559">
        <f aca="true" t="shared" si="5" ref="E36:E37">G36+H36</f>
        <v>713415.5</v>
      </c>
      <c r="F36" s="560">
        <f t="shared" si="0"/>
        <v>1</v>
      </c>
      <c r="G36" s="561">
        <v>713415.5</v>
      </c>
      <c r="H36" s="562">
        <v>0</v>
      </c>
      <c r="I36" s="563">
        <f t="shared" si="1"/>
        <v>0</v>
      </c>
      <c r="J36" s="564" t="s">
        <v>865</v>
      </c>
    </row>
    <row r="37" spans="1:10" s="565" customFormat="1" ht="30">
      <c r="A37" s="555" t="s">
        <v>139</v>
      </c>
      <c r="B37" s="556" t="s">
        <v>140</v>
      </c>
      <c r="C37" s="557">
        <v>0.3</v>
      </c>
      <c r="D37" s="558">
        <v>305749.5</v>
      </c>
      <c r="E37" s="559">
        <f t="shared" si="5"/>
        <v>305749.5</v>
      </c>
      <c r="F37" s="560">
        <f t="shared" si="0"/>
        <v>1</v>
      </c>
      <c r="G37" s="561">
        <v>305749.5</v>
      </c>
      <c r="H37" s="562">
        <v>0</v>
      </c>
      <c r="I37" s="563">
        <f t="shared" si="1"/>
        <v>0</v>
      </c>
      <c r="J37" s="564" t="s">
        <v>865</v>
      </c>
    </row>
    <row r="38" spans="1:10" ht="30">
      <c r="A38" s="551" t="s">
        <v>68</v>
      </c>
      <c r="B38" s="552" t="s">
        <v>786</v>
      </c>
      <c r="C38" s="553">
        <v>0.25</v>
      </c>
      <c r="D38" s="554">
        <f>INT(C38*$D$30)</f>
        <v>727975</v>
      </c>
      <c r="E38" s="548">
        <f>SUM(E39:E44)</f>
        <v>727975</v>
      </c>
      <c r="F38" s="530">
        <f t="shared" si="0"/>
        <v>1</v>
      </c>
      <c r="G38" s="531">
        <f>SUM(G39:G44)</f>
        <v>727975</v>
      </c>
      <c r="H38" s="531">
        <f>SUM(H39:H44)</f>
        <v>0</v>
      </c>
      <c r="I38" s="550">
        <f t="shared" si="1"/>
        <v>0</v>
      </c>
      <c r="J38" s="533" t="s">
        <v>865</v>
      </c>
    </row>
    <row r="39" spans="1:10" s="565" customFormat="1" ht="30">
      <c r="A39" s="555" t="s">
        <v>142</v>
      </c>
      <c r="B39" s="556" t="s">
        <v>143</v>
      </c>
      <c r="C39" s="557">
        <v>0.34</v>
      </c>
      <c r="D39" s="558">
        <v>250000</v>
      </c>
      <c r="E39" s="559">
        <f aca="true" t="shared" si="6" ref="E39:E44">G39+H39</f>
        <v>250000</v>
      </c>
      <c r="F39" s="560">
        <f t="shared" si="0"/>
        <v>1</v>
      </c>
      <c r="G39" s="561">
        <v>250000</v>
      </c>
      <c r="H39" s="566">
        <v>0</v>
      </c>
      <c r="I39" s="563">
        <f t="shared" si="1"/>
        <v>0</v>
      </c>
      <c r="J39" s="564" t="s">
        <v>865</v>
      </c>
    </row>
    <row r="40" spans="1:10" s="565" customFormat="1" ht="30" customHeight="1">
      <c r="A40" s="555" t="s">
        <v>144</v>
      </c>
      <c r="B40" s="556" t="s">
        <v>145</v>
      </c>
      <c r="C40" s="557">
        <v>0.19</v>
      </c>
      <c r="D40" s="558">
        <v>140000</v>
      </c>
      <c r="E40" s="559">
        <f t="shared" si="6"/>
        <v>140000</v>
      </c>
      <c r="F40" s="560">
        <f t="shared" si="0"/>
        <v>1</v>
      </c>
      <c r="G40" s="561">
        <v>140000</v>
      </c>
      <c r="H40" s="566">
        <v>0</v>
      </c>
      <c r="I40" s="563">
        <f t="shared" si="1"/>
        <v>0</v>
      </c>
      <c r="J40" s="564" t="s">
        <v>865</v>
      </c>
    </row>
    <row r="41" spans="1:10" s="565" customFormat="1" ht="30">
      <c r="A41" s="555" t="s">
        <v>146</v>
      </c>
      <c r="B41" s="556" t="s">
        <v>147</v>
      </c>
      <c r="C41" s="557">
        <v>0.24</v>
      </c>
      <c r="D41" s="558">
        <v>175000</v>
      </c>
      <c r="E41" s="559">
        <f t="shared" si="6"/>
        <v>175000</v>
      </c>
      <c r="F41" s="560">
        <f t="shared" si="0"/>
        <v>1</v>
      </c>
      <c r="G41" s="561">
        <v>175000</v>
      </c>
      <c r="H41" s="566">
        <v>0</v>
      </c>
      <c r="I41" s="563">
        <f t="shared" si="1"/>
        <v>0</v>
      </c>
      <c r="J41" s="564" t="s">
        <v>865</v>
      </c>
    </row>
    <row r="42" spans="1:10" s="565" customFormat="1" ht="30">
      <c r="A42" s="555" t="s">
        <v>148</v>
      </c>
      <c r="B42" s="556" t="s">
        <v>149</v>
      </c>
      <c r="C42" s="557">
        <v>0.14</v>
      </c>
      <c r="D42" s="558">
        <v>100000</v>
      </c>
      <c r="E42" s="559">
        <f t="shared" si="6"/>
        <v>100000</v>
      </c>
      <c r="F42" s="560">
        <f t="shared" si="0"/>
        <v>1</v>
      </c>
      <c r="G42" s="561">
        <v>100000</v>
      </c>
      <c r="H42" s="566">
        <v>0</v>
      </c>
      <c r="I42" s="563">
        <f t="shared" si="1"/>
        <v>0</v>
      </c>
      <c r="J42" s="564" t="s">
        <v>865</v>
      </c>
    </row>
    <row r="43" spans="1:10" s="565" customFormat="1" ht="30">
      <c r="A43" s="555" t="s">
        <v>150</v>
      </c>
      <c r="B43" s="556" t="s">
        <v>151</v>
      </c>
      <c r="C43" s="557">
        <v>0.05</v>
      </c>
      <c r="D43" s="558">
        <v>37975</v>
      </c>
      <c r="E43" s="559">
        <f t="shared" si="6"/>
        <v>37975</v>
      </c>
      <c r="F43" s="560">
        <f t="shared" si="0"/>
        <v>1</v>
      </c>
      <c r="G43" s="561">
        <v>37975</v>
      </c>
      <c r="H43" s="566">
        <v>0</v>
      </c>
      <c r="I43" s="563">
        <f t="shared" si="1"/>
        <v>0</v>
      </c>
      <c r="J43" s="564" t="s">
        <v>865</v>
      </c>
    </row>
    <row r="44" spans="1:10" s="565" customFormat="1" ht="15.75">
      <c r="A44" s="555" t="s">
        <v>152</v>
      </c>
      <c r="B44" s="556" t="s">
        <v>153</v>
      </c>
      <c r="C44" s="557">
        <v>0.03</v>
      </c>
      <c r="D44" s="558">
        <v>25000</v>
      </c>
      <c r="E44" s="559">
        <f t="shared" si="6"/>
        <v>25000</v>
      </c>
      <c r="F44" s="560">
        <f t="shared" si="0"/>
        <v>1</v>
      </c>
      <c r="G44" s="561">
        <v>25000</v>
      </c>
      <c r="H44" s="566">
        <v>0</v>
      </c>
      <c r="I44" s="563">
        <f t="shared" si="1"/>
        <v>0</v>
      </c>
      <c r="J44" s="564" t="s">
        <v>865</v>
      </c>
    </row>
    <row r="45" spans="1:10" ht="30">
      <c r="A45" s="551" t="s">
        <v>154</v>
      </c>
      <c r="B45" s="552" t="s">
        <v>868</v>
      </c>
      <c r="C45" s="553">
        <v>0.1</v>
      </c>
      <c r="D45" s="554">
        <f>INT(C45*$D$30)</f>
        <v>291190</v>
      </c>
      <c r="E45" s="548">
        <f>SUM(E46:E48)</f>
        <v>291190</v>
      </c>
      <c r="F45" s="530">
        <f t="shared" si="0"/>
        <v>1</v>
      </c>
      <c r="G45" s="531">
        <f>SUM(G46:G48)</f>
        <v>267190</v>
      </c>
      <c r="H45" s="531">
        <f>SUM(H46:H48)</f>
        <v>24000</v>
      </c>
      <c r="I45" s="550">
        <f t="shared" si="1"/>
        <v>0.08242041278890072</v>
      </c>
      <c r="J45" s="533" t="s">
        <v>865</v>
      </c>
    </row>
    <row r="46" spans="1:10" s="565" customFormat="1" ht="30">
      <c r="A46" s="555" t="s">
        <v>156</v>
      </c>
      <c r="B46" s="556" t="s">
        <v>157</v>
      </c>
      <c r="C46" s="557">
        <v>0.2445</v>
      </c>
      <c r="D46" s="558">
        <v>71190</v>
      </c>
      <c r="E46" s="559">
        <f aca="true" t="shared" si="7" ref="E46:E48">G46+H46</f>
        <v>71190</v>
      </c>
      <c r="F46" s="560">
        <f t="shared" si="0"/>
        <v>1</v>
      </c>
      <c r="G46" s="561">
        <v>71190</v>
      </c>
      <c r="H46" s="567">
        <v>0</v>
      </c>
      <c r="I46" s="563">
        <f t="shared" si="1"/>
        <v>0</v>
      </c>
      <c r="J46" s="564" t="s">
        <v>865</v>
      </c>
    </row>
    <row r="47" spans="1:10" s="565" customFormat="1" ht="30">
      <c r="A47" s="555" t="s">
        <v>158</v>
      </c>
      <c r="B47" s="556" t="s">
        <v>159</v>
      </c>
      <c r="C47" s="557">
        <v>0.4121</v>
      </c>
      <c r="D47" s="558">
        <v>120000</v>
      </c>
      <c r="E47" s="559">
        <f t="shared" si="7"/>
        <v>120000</v>
      </c>
      <c r="F47" s="560">
        <f t="shared" si="0"/>
        <v>1</v>
      </c>
      <c r="G47" s="561">
        <v>96000</v>
      </c>
      <c r="H47" s="567">
        <v>24000</v>
      </c>
      <c r="I47" s="563">
        <f t="shared" si="1"/>
        <v>0.2</v>
      </c>
      <c r="J47" s="564" t="s">
        <v>865</v>
      </c>
    </row>
    <row r="48" spans="1:10" s="565" customFormat="1" ht="45">
      <c r="A48" s="555" t="s">
        <v>160</v>
      </c>
      <c r="B48" s="556" t="s">
        <v>161</v>
      </c>
      <c r="C48" s="557">
        <v>0.3434</v>
      </c>
      <c r="D48" s="558">
        <v>100000</v>
      </c>
      <c r="E48" s="559">
        <f t="shared" si="7"/>
        <v>100000</v>
      </c>
      <c r="F48" s="560">
        <f t="shared" si="0"/>
        <v>1</v>
      </c>
      <c r="G48" s="561">
        <v>100000</v>
      </c>
      <c r="H48" s="567">
        <v>0</v>
      </c>
      <c r="I48" s="563">
        <f t="shared" si="1"/>
        <v>0</v>
      </c>
      <c r="J48" s="564" t="s">
        <v>865</v>
      </c>
    </row>
    <row r="49" spans="1:10" ht="45">
      <c r="A49" s="568">
        <v>3</v>
      </c>
      <c r="B49" s="569" t="s">
        <v>869</v>
      </c>
      <c r="C49" s="570">
        <v>0.53</v>
      </c>
      <c r="D49" s="571">
        <f>$D$5*C49</f>
        <v>3858267.5</v>
      </c>
      <c r="E49" s="572">
        <f>SUM(E50,E51,E87,E92,E97)</f>
        <v>3858267.49</v>
      </c>
      <c r="F49" s="573">
        <f t="shared" si="0"/>
        <v>0.9999999974081631</v>
      </c>
      <c r="G49" s="574">
        <f>SUM(G97,G92,G87,G51,G50)</f>
        <v>3858267.49</v>
      </c>
      <c r="H49" s="574">
        <f>SUM(H50,H51,H87,H92,H97)</f>
        <v>0</v>
      </c>
      <c r="I49" s="575">
        <f t="shared" si="1"/>
        <v>0</v>
      </c>
      <c r="J49" s="576" t="s">
        <v>865</v>
      </c>
    </row>
    <row r="50" spans="1:10" ht="15.75">
      <c r="A50" s="551" t="s">
        <v>71</v>
      </c>
      <c r="B50" s="552" t="s">
        <v>407</v>
      </c>
      <c r="C50" s="553">
        <v>0.1</v>
      </c>
      <c r="D50" s="554">
        <f aca="true" t="shared" si="8" ref="D50:D51">INT(C50*$D$49)</f>
        <v>385826</v>
      </c>
      <c r="E50" s="548">
        <f>G50+H50</f>
        <v>385826</v>
      </c>
      <c r="F50" s="530">
        <f t="shared" si="0"/>
        <v>1</v>
      </c>
      <c r="G50" s="531">
        <v>385826</v>
      </c>
      <c r="H50" s="531"/>
      <c r="I50" s="550">
        <f t="shared" si="1"/>
        <v>0</v>
      </c>
      <c r="J50" s="533" t="s">
        <v>865</v>
      </c>
    </row>
    <row r="51" spans="1:10" ht="30">
      <c r="A51" s="551" t="s">
        <v>73</v>
      </c>
      <c r="B51" s="552" t="s">
        <v>798</v>
      </c>
      <c r="C51" s="553">
        <v>0.6</v>
      </c>
      <c r="D51" s="554">
        <f t="shared" si="8"/>
        <v>2314960</v>
      </c>
      <c r="E51" s="548">
        <f>SUM(E52,E57,E62,E67,E72,E77,E82)</f>
        <v>2314959.99</v>
      </c>
      <c r="F51" s="577">
        <f t="shared" si="0"/>
        <v>0.999999995680271</v>
      </c>
      <c r="G51" s="531">
        <f>+G52+G57+G62+G67+G72+G77+G82</f>
        <v>2314959.99</v>
      </c>
      <c r="H51" s="531">
        <f>+H52+H57+H62+H67+H72+H77+H82</f>
        <v>0</v>
      </c>
      <c r="I51" s="578">
        <f t="shared" si="1"/>
        <v>0</v>
      </c>
      <c r="J51" s="533" t="s">
        <v>865</v>
      </c>
    </row>
    <row r="52" spans="1:10" ht="15.75">
      <c r="A52" s="555" t="s">
        <v>165</v>
      </c>
      <c r="B52" s="556" t="s">
        <v>166</v>
      </c>
      <c r="C52" s="557">
        <v>0.14</v>
      </c>
      <c r="D52" s="579">
        <f>+D51/7</f>
        <v>330708.5714285714</v>
      </c>
      <c r="E52" s="559">
        <f>SUM(E53:E56)</f>
        <v>330708.57</v>
      </c>
      <c r="F52" s="580">
        <f t="shared" si="0"/>
        <v>0.999999995680271</v>
      </c>
      <c r="G52" s="561">
        <f>SUM(G53:G56)</f>
        <v>330708.57</v>
      </c>
      <c r="H52" s="561">
        <f>SUM(H53:H56)</f>
        <v>0</v>
      </c>
      <c r="I52" s="581">
        <f t="shared" si="1"/>
        <v>0</v>
      </c>
      <c r="J52" s="564" t="s">
        <v>865</v>
      </c>
    </row>
    <row r="53" spans="1:10" ht="30">
      <c r="A53" s="582" t="s">
        <v>167</v>
      </c>
      <c r="B53" s="583" t="s">
        <v>168</v>
      </c>
      <c r="C53" s="584">
        <v>0.1</v>
      </c>
      <c r="D53" s="585">
        <f>+D52-D54-D55-D56</f>
        <v>33070.861428571414</v>
      </c>
      <c r="E53" s="586">
        <f aca="true" t="shared" si="9" ref="E53:E56">G53+H53</f>
        <v>33070.86</v>
      </c>
      <c r="F53" s="587">
        <f t="shared" si="0"/>
        <v>0.9999999568027154</v>
      </c>
      <c r="G53" s="588">
        <v>33070.86</v>
      </c>
      <c r="H53" s="585">
        <v>0</v>
      </c>
      <c r="I53" s="589">
        <f t="shared" si="1"/>
        <v>0</v>
      </c>
      <c r="J53" s="590" t="s">
        <v>865</v>
      </c>
    </row>
    <row r="54" spans="1:10" ht="15.75">
      <c r="A54" s="582" t="s">
        <v>169</v>
      </c>
      <c r="B54" s="583" t="s">
        <v>170</v>
      </c>
      <c r="C54" s="584">
        <v>0.3</v>
      </c>
      <c r="D54" s="585">
        <v>99212.57</v>
      </c>
      <c r="E54" s="586">
        <f t="shared" si="9"/>
        <v>99212.57</v>
      </c>
      <c r="F54" s="587">
        <f t="shared" si="0"/>
        <v>1</v>
      </c>
      <c r="G54" s="588">
        <v>99212.57</v>
      </c>
      <c r="H54" s="585">
        <v>0</v>
      </c>
      <c r="I54" s="589">
        <f t="shared" si="1"/>
        <v>0</v>
      </c>
      <c r="J54" s="590" t="s">
        <v>865</v>
      </c>
    </row>
    <row r="55" spans="1:10" ht="15.75">
      <c r="A55" s="582" t="s">
        <v>171</v>
      </c>
      <c r="B55" s="583" t="s">
        <v>172</v>
      </c>
      <c r="C55" s="584">
        <v>0.4</v>
      </c>
      <c r="D55" s="585">
        <v>132283.43</v>
      </c>
      <c r="E55" s="586">
        <f t="shared" si="9"/>
        <v>132283.43</v>
      </c>
      <c r="F55" s="587">
        <f t="shared" si="0"/>
        <v>1</v>
      </c>
      <c r="G55" s="588">
        <v>132283.43</v>
      </c>
      <c r="H55" s="585">
        <v>0</v>
      </c>
      <c r="I55" s="589">
        <f t="shared" si="1"/>
        <v>0</v>
      </c>
      <c r="J55" s="590" t="s">
        <v>865</v>
      </c>
    </row>
    <row r="56" spans="1:10" ht="15.75">
      <c r="A56" s="582" t="s">
        <v>173</v>
      </c>
      <c r="B56" s="583" t="s">
        <v>174</v>
      </c>
      <c r="C56" s="584">
        <v>0.2</v>
      </c>
      <c r="D56" s="585">
        <v>66141.71</v>
      </c>
      <c r="E56" s="586">
        <f t="shared" si="9"/>
        <v>66141.71</v>
      </c>
      <c r="F56" s="587">
        <f t="shared" si="0"/>
        <v>1</v>
      </c>
      <c r="G56" s="588">
        <v>66141.71</v>
      </c>
      <c r="H56" s="588">
        <v>0</v>
      </c>
      <c r="I56" s="589">
        <f t="shared" si="1"/>
        <v>0</v>
      </c>
      <c r="J56" s="590" t="s">
        <v>865</v>
      </c>
    </row>
    <row r="57" spans="1:10" ht="15.75">
      <c r="A57" s="555" t="s">
        <v>175</v>
      </c>
      <c r="B57" s="556" t="s">
        <v>176</v>
      </c>
      <c r="C57" s="557">
        <v>0.14</v>
      </c>
      <c r="D57" s="579">
        <f>+D52</f>
        <v>330708.5714285714</v>
      </c>
      <c r="E57" s="559">
        <f>SUM(E58:E61)</f>
        <v>330708.57</v>
      </c>
      <c r="F57" s="580">
        <f t="shared" si="0"/>
        <v>0.999999995680271</v>
      </c>
      <c r="G57" s="561">
        <f>SUM(G58:G61)</f>
        <v>330708.57</v>
      </c>
      <c r="H57" s="561">
        <f>SUM(H58:H61)</f>
        <v>0</v>
      </c>
      <c r="I57" s="581">
        <f t="shared" si="1"/>
        <v>0</v>
      </c>
      <c r="J57" s="564" t="s">
        <v>865</v>
      </c>
    </row>
    <row r="58" spans="1:10" ht="30">
      <c r="A58" s="582" t="s">
        <v>177</v>
      </c>
      <c r="B58" s="583" t="s">
        <v>168</v>
      </c>
      <c r="C58" s="584">
        <v>0.1</v>
      </c>
      <c r="D58" s="585">
        <f>+D57-D59-D60-D61</f>
        <v>33070.861428571414</v>
      </c>
      <c r="E58" s="586">
        <f aca="true" t="shared" si="10" ref="E58:E61">G58+H58</f>
        <v>33070.86</v>
      </c>
      <c r="F58" s="587">
        <f t="shared" si="0"/>
        <v>0.9999999568027154</v>
      </c>
      <c r="G58" s="588">
        <v>33070.86</v>
      </c>
      <c r="H58" s="588">
        <v>0</v>
      </c>
      <c r="I58" s="589">
        <f t="shared" si="1"/>
        <v>0</v>
      </c>
      <c r="J58" s="590" t="s">
        <v>865</v>
      </c>
    </row>
    <row r="59" spans="1:10" ht="15.75">
      <c r="A59" s="582" t="s">
        <v>178</v>
      </c>
      <c r="B59" s="583" t="s">
        <v>170</v>
      </c>
      <c r="C59" s="584">
        <v>0.3</v>
      </c>
      <c r="D59" s="585">
        <v>99212.57</v>
      </c>
      <c r="E59" s="586">
        <f t="shared" si="10"/>
        <v>99212.57</v>
      </c>
      <c r="F59" s="587">
        <f t="shared" si="0"/>
        <v>1</v>
      </c>
      <c r="G59" s="588">
        <v>99212.57</v>
      </c>
      <c r="H59" s="588">
        <v>0</v>
      </c>
      <c r="I59" s="589">
        <f t="shared" si="1"/>
        <v>0</v>
      </c>
      <c r="J59" s="590" t="s">
        <v>865</v>
      </c>
    </row>
    <row r="60" spans="1:10" ht="15.75">
      <c r="A60" s="582" t="s">
        <v>179</v>
      </c>
      <c r="B60" s="583" t="s">
        <v>172</v>
      </c>
      <c r="C60" s="584">
        <v>0.4</v>
      </c>
      <c r="D60" s="585">
        <v>132283.43</v>
      </c>
      <c r="E60" s="586">
        <f t="shared" si="10"/>
        <v>132283.43</v>
      </c>
      <c r="F60" s="587">
        <f t="shared" si="0"/>
        <v>1</v>
      </c>
      <c r="G60" s="588">
        <v>132283.43</v>
      </c>
      <c r="H60" s="588">
        <v>0</v>
      </c>
      <c r="I60" s="589">
        <f t="shared" si="1"/>
        <v>0</v>
      </c>
      <c r="J60" s="590" t="s">
        <v>865</v>
      </c>
    </row>
    <row r="61" spans="1:10" ht="15.75">
      <c r="A61" s="582" t="s">
        <v>180</v>
      </c>
      <c r="B61" s="583" t="s">
        <v>174</v>
      </c>
      <c r="C61" s="584">
        <v>0.2</v>
      </c>
      <c r="D61" s="585">
        <v>66141.71</v>
      </c>
      <c r="E61" s="586">
        <f t="shared" si="10"/>
        <v>66141.71</v>
      </c>
      <c r="F61" s="587">
        <f t="shared" si="0"/>
        <v>1</v>
      </c>
      <c r="G61" s="588">
        <v>66141.71</v>
      </c>
      <c r="H61" s="588">
        <v>0</v>
      </c>
      <c r="I61" s="589">
        <f t="shared" si="1"/>
        <v>0</v>
      </c>
      <c r="J61" s="590" t="s">
        <v>865</v>
      </c>
    </row>
    <row r="62" spans="1:10" ht="15.75">
      <c r="A62" s="555" t="s">
        <v>181</v>
      </c>
      <c r="B62" s="556" t="s">
        <v>182</v>
      </c>
      <c r="C62" s="557">
        <v>0.14</v>
      </c>
      <c r="D62" s="579">
        <f>+D57</f>
        <v>330708.5714285714</v>
      </c>
      <c r="E62" s="559">
        <f>SUM(E63:E66)</f>
        <v>330708.57</v>
      </c>
      <c r="F62" s="580">
        <f t="shared" si="0"/>
        <v>0.999999995680271</v>
      </c>
      <c r="G62" s="561">
        <f>SUM(G63:G66)</f>
        <v>330708.57</v>
      </c>
      <c r="H62" s="561">
        <f>SUM(H63:H66)</f>
        <v>0</v>
      </c>
      <c r="I62" s="581">
        <f t="shared" si="1"/>
        <v>0</v>
      </c>
      <c r="J62" s="564" t="s">
        <v>865</v>
      </c>
    </row>
    <row r="63" spans="1:10" ht="30">
      <c r="A63" s="582" t="s">
        <v>183</v>
      </c>
      <c r="B63" s="583" t="s">
        <v>168</v>
      </c>
      <c r="C63" s="584">
        <v>0.1</v>
      </c>
      <c r="D63" s="585">
        <f>+D62-D64-D65-D66</f>
        <v>33070.861428571414</v>
      </c>
      <c r="E63" s="586">
        <f aca="true" t="shared" si="11" ref="E63:E66">G63+H63</f>
        <v>33070.86</v>
      </c>
      <c r="F63" s="587">
        <f t="shared" si="0"/>
        <v>0.9999999568027154</v>
      </c>
      <c r="G63" s="588">
        <v>33070.86</v>
      </c>
      <c r="H63" s="588">
        <v>0</v>
      </c>
      <c r="I63" s="589">
        <f t="shared" si="1"/>
        <v>0</v>
      </c>
      <c r="J63" s="590" t="s">
        <v>865</v>
      </c>
    </row>
    <row r="64" spans="1:10" ht="15.75">
      <c r="A64" s="582" t="s">
        <v>184</v>
      </c>
      <c r="B64" s="583" t="s">
        <v>170</v>
      </c>
      <c r="C64" s="584">
        <v>0.3</v>
      </c>
      <c r="D64" s="585">
        <v>99212.57</v>
      </c>
      <c r="E64" s="586">
        <f t="shared" si="11"/>
        <v>99212.57</v>
      </c>
      <c r="F64" s="587">
        <f t="shared" si="0"/>
        <v>1</v>
      </c>
      <c r="G64" s="588">
        <v>99212.57</v>
      </c>
      <c r="H64" s="588">
        <v>0</v>
      </c>
      <c r="I64" s="589">
        <f t="shared" si="1"/>
        <v>0</v>
      </c>
      <c r="J64" s="590" t="s">
        <v>865</v>
      </c>
    </row>
    <row r="65" spans="1:10" ht="15.75">
      <c r="A65" s="582" t="s">
        <v>185</v>
      </c>
      <c r="B65" s="583" t="s">
        <v>172</v>
      </c>
      <c r="C65" s="584">
        <v>0.4</v>
      </c>
      <c r="D65" s="585">
        <v>132283.43</v>
      </c>
      <c r="E65" s="586">
        <f t="shared" si="11"/>
        <v>132283.43</v>
      </c>
      <c r="F65" s="587">
        <f t="shared" si="0"/>
        <v>1</v>
      </c>
      <c r="G65" s="588">
        <v>132283.43</v>
      </c>
      <c r="H65" s="588">
        <v>0</v>
      </c>
      <c r="I65" s="589">
        <f t="shared" si="1"/>
        <v>0</v>
      </c>
      <c r="J65" s="590" t="s">
        <v>865</v>
      </c>
    </row>
    <row r="66" spans="1:10" ht="15.75">
      <c r="A66" s="582" t="s">
        <v>186</v>
      </c>
      <c r="B66" s="583" t="s">
        <v>174</v>
      </c>
      <c r="C66" s="584">
        <v>0.2</v>
      </c>
      <c r="D66" s="585">
        <v>66141.71</v>
      </c>
      <c r="E66" s="586">
        <f t="shared" si="11"/>
        <v>66141.71</v>
      </c>
      <c r="F66" s="587">
        <f t="shared" si="0"/>
        <v>1</v>
      </c>
      <c r="G66" s="588">
        <v>66141.71</v>
      </c>
      <c r="H66" s="588">
        <v>0</v>
      </c>
      <c r="I66" s="589">
        <f t="shared" si="1"/>
        <v>0</v>
      </c>
      <c r="J66" s="590" t="s">
        <v>865</v>
      </c>
    </row>
    <row r="67" spans="1:10" ht="15.75">
      <c r="A67" s="555" t="s">
        <v>187</v>
      </c>
      <c r="B67" s="556" t="s">
        <v>188</v>
      </c>
      <c r="C67" s="557">
        <v>0.14</v>
      </c>
      <c r="D67" s="579">
        <f>+D62</f>
        <v>330708.5714285714</v>
      </c>
      <c r="E67" s="559">
        <f>SUM(E68:E71)</f>
        <v>330708.57</v>
      </c>
      <c r="F67" s="580">
        <f t="shared" si="0"/>
        <v>0.999999995680271</v>
      </c>
      <c r="G67" s="561">
        <f>SUM(G68:G71)</f>
        <v>330708.57</v>
      </c>
      <c r="H67" s="561">
        <f>SUM(H68:H71)</f>
        <v>0</v>
      </c>
      <c r="I67" s="581">
        <f t="shared" si="1"/>
        <v>0</v>
      </c>
      <c r="J67" s="564" t="s">
        <v>865</v>
      </c>
    </row>
    <row r="68" spans="1:10" ht="30">
      <c r="A68" s="582" t="s">
        <v>189</v>
      </c>
      <c r="B68" s="583" t="s">
        <v>168</v>
      </c>
      <c r="C68" s="584">
        <v>0.1</v>
      </c>
      <c r="D68" s="585">
        <f>+D67-D69-D70-D71</f>
        <v>33070.861428571414</v>
      </c>
      <c r="E68" s="586">
        <f aca="true" t="shared" si="12" ref="E68:E71">G68+H68</f>
        <v>33070.86</v>
      </c>
      <c r="F68" s="587">
        <f t="shared" si="0"/>
        <v>0.9999999568027154</v>
      </c>
      <c r="G68" s="588">
        <v>33070.86</v>
      </c>
      <c r="H68" s="588">
        <v>0</v>
      </c>
      <c r="I68" s="589">
        <f t="shared" si="1"/>
        <v>0</v>
      </c>
      <c r="J68" s="590" t="s">
        <v>865</v>
      </c>
    </row>
    <row r="69" spans="1:10" ht="15.75">
      <c r="A69" s="582" t="s">
        <v>190</v>
      </c>
      <c r="B69" s="583" t="s">
        <v>170</v>
      </c>
      <c r="C69" s="584">
        <v>0.3</v>
      </c>
      <c r="D69" s="585">
        <v>99212.57</v>
      </c>
      <c r="E69" s="586">
        <f t="shared" si="12"/>
        <v>99212.57</v>
      </c>
      <c r="F69" s="587">
        <f t="shared" si="0"/>
        <v>1</v>
      </c>
      <c r="G69" s="588">
        <v>99212.57</v>
      </c>
      <c r="H69" s="588">
        <v>0</v>
      </c>
      <c r="I69" s="589">
        <f t="shared" si="1"/>
        <v>0</v>
      </c>
      <c r="J69" s="590" t="s">
        <v>865</v>
      </c>
    </row>
    <row r="70" spans="1:10" ht="15.75">
      <c r="A70" s="582" t="s">
        <v>191</v>
      </c>
      <c r="B70" s="583" t="s">
        <v>172</v>
      </c>
      <c r="C70" s="584">
        <v>0.4</v>
      </c>
      <c r="D70" s="585">
        <v>132283.43</v>
      </c>
      <c r="E70" s="586">
        <f t="shared" si="12"/>
        <v>132283.43</v>
      </c>
      <c r="F70" s="587">
        <f t="shared" si="0"/>
        <v>1</v>
      </c>
      <c r="G70" s="588">
        <v>132283.43</v>
      </c>
      <c r="H70" s="588">
        <v>0</v>
      </c>
      <c r="I70" s="589">
        <f t="shared" si="1"/>
        <v>0</v>
      </c>
      <c r="J70" s="590" t="s">
        <v>865</v>
      </c>
    </row>
    <row r="71" spans="1:10" ht="15.75">
      <c r="A71" s="582" t="s">
        <v>192</v>
      </c>
      <c r="B71" s="583" t="s">
        <v>174</v>
      </c>
      <c r="C71" s="584">
        <v>0.2</v>
      </c>
      <c r="D71" s="585">
        <v>66141.71</v>
      </c>
      <c r="E71" s="586">
        <f t="shared" si="12"/>
        <v>66141.71</v>
      </c>
      <c r="F71" s="587">
        <f t="shared" si="0"/>
        <v>1</v>
      </c>
      <c r="G71" s="588">
        <v>66141.71</v>
      </c>
      <c r="H71" s="588">
        <v>0</v>
      </c>
      <c r="I71" s="589">
        <f t="shared" si="1"/>
        <v>0</v>
      </c>
      <c r="J71" s="590" t="s">
        <v>865</v>
      </c>
    </row>
    <row r="72" spans="1:10" ht="15.75">
      <c r="A72" s="555" t="s">
        <v>193</v>
      </c>
      <c r="B72" s="556" t="s">
        <v>194</v>
      </c>
      <c r="C72" s="557">
        <v>0.14</v>
      </c>
      <c r="D72" s="579">
        <f>+D67</f>
        <v>330708.5714285714</v>
      </c>
      <c r="E72" s="559">
        <f>SUM(E73:E76)</f>
        <v>330708.57</v>
      </c>
      <c r="F72" s="580">
        <f t="shared" si="0"/>
        <v>0.999999995680271</v>
      </c>
      <c r="G72" s="561">
        <f>SUM(G73:G76)</f>
        <v>330708.57</v>
      </c>
      <c r="H72" s="561">
        <f>SUM(H73:H76)</f>
        <v>0</v>
      </c>
      <c r="I72" s="581">
        <f t="shared" si="1"/>
        <v>0</v>
      </c>
      <c r="J72" s="564" t="s">
        <v>865</v>
      </c>
    </row>
    <row r="73" spans="1:10" ht="30">
      <c r="A73" s="582" t="s">
        <v>195</v>
      </c>
      <c r="B73" s="583" t="s">
        <v>168</v>
      </c>
      <c r="C73" s="584">
        <v>0.1</v>
      </c>
      <c r="D73" s="585">
        <f>+D72-D74-D75-D76</f>
        <v>33070.861428571414</v>
      </c>
      <c r="E73" s="586">
        <f aca="true" t="shared" si="13" ref="E73:E76">G73+H73</f>
        <v>33070.86</v>
      </c>
      <c r="F73" s="587">
        <f t="shared" si="0"/>
        <v>0.9999999568027154</v>
      </c>
      <c r="G73" s="588">
        <v>33070.86</v>
      </c>
      <c r="H73" s="588">
        <v>0</v>
      </c>
      <c r="I73" s="589">
        <f t="shared" si="1"/>
        <v>0</v>
      </c>
      <c r="J73" s="590" t="s">
        <v>865</v>
      </c>
    </row>
    <row r="74" spans="1:10" ht="15.75">
      <c r="A74" s="582" t="s">
        <v>196</v>
      </c>
      <c r="B74" s="583" t="s">
        <v>170</v>
      </c>
      <c r="C74" s="584">
        <v>0.3</v>
      </c>
      <c r="D74" s="585">
        <v>99212.57</v>
      </c>
      <c r="E74" s="586">
        <f t="shared" si="13"/>
        <v>99212.57</v>
      </c>
      <c r="F74" s="587">
        <f t="shared" si="0"/>
        <v>1</v>
      </c>
      <c r="G74" s="588">
        <v>99212.57</v>
      </c>
      <c r="H74" s="588">
        <v>0</v>
      </c>
      <c r="I74" s="589">
        <f t="shared" si="1"/>
        <v>0</v>
      </c>
      <c r="J74" s="590" t="s">
        <v>865</v>
      </c>
    </row>
    <row r="75" spans="1:10" ht="15.75">
      <c r="A75" s="582" t="s">
        <v>197</v>
      </c>
      <c r="B75" s="583" t="s">
        <v>172</v>
      </c>
      <c r="C75" s="584">
        <v>0.4</v>
      </c>
      <c r="D75" s="585">
        <v>132283.43</v>
      </c>
      <c r="E75" s="586">
        <f t="shared" si="13"/>
        <v>132283.43</v>
      </c>
      <c r="F75" s="587">
        <f t="shared" si="0"/>
        <v>1</v>
      </c>
      <c r="G75" s="588">
        <v>132283.43</v>
      </c>
      <c r="H75" s="588">
        <v>0</v>
      </c>
      <c r="I75" s="589">
        <f t="shared" si="1"/>
        <v>0</v>
      </c>
      <c r="J75" s="590" t="s">
        <v>865</v>
      </c>
    </row>
    <row r="76" spans="1:10" ht="15.75">
      <c r="A76" s="582" t="s">
        <v>198</v>
      </c>
      <c r="B76" s="583" t="s">
        <v>174</v>
      </c>
      <c r="C76" s="584">
        <v>0.2</v>
      </c>
      <c r="D76" s="585">
        <v>66141.71</v>
      </c>
      <c r="E76" s="586">
        <f t="shared" si="13"/>
        <v>66141.71</v>
      </c>
      <c r="F76" s="587">
        <f t="shared" si="0"/>
        <v>1</v>
      </c>
      <c r="G76" s="588">
        <v>66141.71</v>
      </c>
      <c r="H76" s="588">
        <v>0</v>
      </c>
      <c r="I76" s="589">
        <f t="shared" si="1"/>
        <v>0</v>
      </c>
      <c r="J76" s="590" t="s">
        <v>865</v>
      </c>
    </row>
    <row r="77" spans="1:10" ht="15.75">
      <c r="A77" s="555" t="s">
        <v>199</v>
      </c>
      <c r="B77" s="556" t="s">
        <v>200</v>
      </c>
      <c r="C77" s="557">
        <v>0.14</v>
      </c>
      <c r="D77" s="579">
        <f>+D72</f>
        <v>330708.5714285714</v>
      </c>
      <c r="E77" s="559">
        <f>SUM(E78:E81)</f>
        <v>330708.57</v>
      </c>
      <c r="F77" s="580">
        <f t="shared" si="0"/>
        <v>0.999999995680271</v>
      </c>
      <c r="G77" s="561">
        <f>SUM(G78:G81)</f>
        <v>330708.57</v>
      </c>
      <c r="H77" s="561">
        <f>SUM(H78:H81)</f>
        <v>0</v>
      </c>
      <c r="I77" s="581">
        <f t="shared" si="1"/>
        <v>0</v>
      </c>
      <c r="J77" s="564" t="s">
        <v>865</v>
      </c>
    </row>
    <row r="78" spans="1:10" ht="30">
      <c r="A78" s="582" t="s">
        <v>201</v>
      </c>
      <c r="B78" s="583" t="s">
        <v>168</v>
      </c>
      <c r="C78" s="584">
        <v>0.1</v>
      </c>
      <c r="D78" s="585">
        <f>+D77-D79-D80-D81</f>
        <v>33070.861428571414</v>
      </c>
      <c r="E78" s="586">
        <f aca="true" t="shared" si="14" ref="E78:E81">G78+H78</f>
        <v>33070.86</v>
      </c>
      <c r="F78" s="587">
        <f t="shared" si="0"/>
        <v>0.9999999568027154</v>
      </c>
      <c r="G78" s="588">
        <v>33070.86</v>
      </c>
      <c r="H78" s="588">
        <v>0</v>
      </c>
      <c r="I78" s="589">
        <f t="shared" si="1"/>
        <v>0</v>
      </c>
      <c r="J78" s="590" t="s">
        <v>865</v>
      </c>
    </row>
    <row r="79" spans="1:10" ht="15.75">
      <c r="A79" s="582" t="s">
        <v>202</v>
      </c>
      <c r="B79" s="583" t="s">
        <v>170</v>
      </c>
      <c r="C79" s="584">
        <v>0.3</v>
      </c>
      <c r="D79" s="585">
        <v>99212.57</v>
      </c>
      <c r="E79" s="586">
        <f t="shared" si="14"/>
        <v>99212.57</v>
      </c>
      <c r="F79" s="587">
        <f t="shared" si="0"/>
        <v>1</v>
      </c>
      <c r="G79" s="588">
        <v>99212.57</v>
      </c>
      <c r="H79" s="588">
        <v>0</v>
      </c>
      <c r="I79" s="589">
        <f t="shared" si="1"/>
        <v>0</v>
      </c>
      <c r="J79" s="590" t="s">
        <v>865</v>
      </c>
    </row>
    <row r="80" spans="1:10" ht="15.75">
      <c r="A80" s="582" t="s">
        <v>203</v>
      </c>
      <c r="B80" s="583" t="s">
        <v>172</v>
      </c>
      <c r="C80" s="584">
        <v>0.4</v>
      </c>
      <c r="D80" s="585">
        <v>132283.43</v>
      </c>
      <c r="E80" s="586">
        <f t="shared" si="14"/>
        <v>132283.43</v>
      </c>
      <c r="F80" s="587">
        <f t="shared" si="0"/>
        <v>1</v>
      </c>
      <c r="G80" s="588">
        <v>132283.43</v>
      </c>
      <c r="H80" s="588">
        <v>0</v>
      </c>
      <c r="I80" s="589">
        <f t="shared" si="1"/>
        <v>0</v>
      </c>
      <c r="J80" s="590" t="s">
        <v>865</v>
      </c>
    </row>
    <row r="81" spans="1:10" ht="15.75">
      <c r="A81" s="582" t="s">
        <v>204</v>
      </c>
      <c r="B81" s="583" t="s">
        <v>174</v>
      </c>
      <c r="C81" s="584">
        <v>0.2</v>
      </c>
      <c r="D81" s="585">
        <v>66141.71</v>
      </c>
      <c r="E81" s="586">
        <f t="shared" si="14"/>
        <v>66141.71</v>
      </c>
      <c r="F81" s="587">
        <f t="shared" si="0"/>
        <v>1</v>
      </c>
      <c r="G81" s="588">
        <v>66141.71</v>
      </c>
      <c r="H81" s="588">
        <v>0</v>
      </c>
      <c r="I81" s="589">
        <f t="shared" si="1"/>
        <v>0</v>
      </c>
      <c r="J81" s="590" t="s">
        <v>865</v>
      </c>
    </row>
    <row r="82" spans="1:10" ht="15.75">
      <c r="A82" s="555" t="s">
        <v>205</v>
      </c>
      <c r="B82" s="556" t="s">
        <v>206</v>
      </c>
      <c r="C82" s="557">
        <v>0.14</v>
      </c>
      <c r="D82" s="579">
        <f>+D77</f>
        <v>330708.5714285714</v>
      </c>
      <c r="E82" s="559">
        <f>SUM(E83:E86)</f>
        <v>330708.57</v>
      </c>
      <c r="F82" s="580">
        <f t="shared" si="0"/>
        <v>0.999999995680271</v>
      </c>
      <c r="G82" s="561">
        <f>SUM(G83:G86)</f>
        <v>330708.57</v>
      </c>
      <c r="H82" s="561">
        <f>SUM(H83:H86)</f>
        <v>0</v>
      </c>
      <c r="I82" s="581">
        <f t="shared" si="1"/>
        <v>0</v>
      </c>
      <c r="J82" s="564" t="s">
        <v>865</v>
      </c>
    </row>
    <row r="83" spans="1:10" ht="30">
      <c r="A83" s="582" t="s">
        <v>207</v>
      </c>
      <c r="B83" s="583" t="s">
        <v>168</v>
      </c>
      <c r="C83" s="584">
        <v>0.1</v>
      </c>
      <c r="D83" s="585">
        <f>+D82-D84-D85-D86</f>
        <v>33070.861428571414</v>
      </c>
      <c r="E83" s="586">
        <f aca="true" t="shared" si="15" ref="E83:E86">G83+H83</f>
        <v>33070.86</v>
      </c>
      <c r="F83" s="587">
        <f t="shared" si="0"/>
        <v>0.9999999568027154</v>
      </c>
      <c r="G83" s="588">
        <v>33070.86</v>
      </c>
      <c r="H83" s="588">
        <v>0</v>
      </c>
      <c r="I83" s="589">
        <f t="shared" si="1"/>
        <v>0</v>
      </c>
      <c r="J83" s="590" t="s">
        <v>865</v>
      </c>
    </row>
    <row r="84" spans="1:10" ht="15.75">
      <c r="A84" s="582" t="s">
        <v>208</v>
      </c>
      <c r="B84" s="583" t="s">
        <v>170</v>
      </c>
      <c r="C84" s="584">
        <v>0.3</v>
      </c>
      <c r="D84" s="585">
        <v>99212.57</v>
      </c>
      <c r="E84" s="586">
        <f t="shared" si="15"/>
        <v>99212.57</v>
      </c>
      <c r="F84" s="587">
        <f t="shared" si="0"/>
        <v>1</v>
      </c>
      <c r="G84" s="588">
        <v>99212.57</v>
      </c>
      <c r="H84" s="588">
        <v>0</v>
      </c>
      <c r="I84" s="589">
        <f t="shared" si="1"/>
        <v>0</v>
      </c>
      <c r="J84" s="590" t="s">
        <v>865</v>
      </c>
    </row>
    <row r="85" spans="1:10" ht="15.75">
      <c r="A85" s="582" t="s">
        <v>209</v>
      </c>
      <c r="B85" s="583" t="s">
        <v>172</v>
      </c>
      <c r="C85" s="584">
        <v>0.4</v>
      </c>
      <c r="D85" s="585">
        <v>132283.43</v>
      </c>
      <c r="E85" s="586">
        <f t="shared" si="15"/>
        <v>132283.43</v>
      </c>
      <c r="F85" s="587">
        <f t="shared" si="0"/>
        <v>1</v>
      </c>
      <c r="G85" s="588">
        <v>132283.43</v>
      </c>
      <c r="H85" s="588">
        <v>0</v>
      </c>
      <c r="I85" s="589">
        <f t="shared" si="1"/>
        <v>0</v>
      </c>
      <c r="J85" s="590" t="s">
        <v>865</v>
      </c>
    </row>
    <row r="86" spans="1:10" ht="15.75">
      <c r="A86" s="582" t="s">
        <v>210</v>
      </c>
      <c r="B86" s="583" t="s">
        <v>174</v>
      </c>
      <c r="C86" s="584">
        <v>0.2</v>
      </c>
      <c r="D86" s="585">
        <v>66141.71</v>
      </c>
      <c r="E86" s="586">
        <f t="shared" si="15"/>
        <v>66141.71</v>
      </c>
      <c r="F86" s="587">
        <f t="shared" si="0"/>
        <v>1</v>
      </c>
      <c r="G86" s="588">
        <v>66141.71</v>
      </c>
      <c r="H86" s="588">
        <v>0</v>
      </c>
      <c r="I86" s="589">
        <f t="shared" si="1"/>
        <v>0</v>
      </c>
      <c r="J86" s="590" t="s">
        <v>865</v>
      </c>
    </row>
    <row r="87" spans="1:10" ht="15.75">
      <c r="A87" s="551" t="s">
        <v>211</v>
      </c>
      <c r="B87" s="552" t="s">
        <v>870</v>
      </c>
      <c r="C87" s="553">
        <v>0.15</v>
      </c>
      <c r="D87" s="554">
        <f>INT(C87*$D$49)</f>
        <v>578740</v>
      </c>
      <c r="E87" s="548">
        <f>SUM(E88:E91)</f>
        <v>578740</v>
      </c>
      <c r="F87" s="530">
        <f t="shared" si="0"/>
        <v>1</v>
      </c>
      <c r="G87" s="531">
        <f>SUM(G88:G91)</f>
        <v>578740</v>
      </c>
      <c r="H87" s="531">
        <f>SUM(H88:H91)</f>
        <v>0</v>
      </c>
      <c r="I87" s="550">
        <f t="shared" si="1"/>
        <v>0</v>
      </c>
      <c r="J87" s="533" t="s">
        <v>865</v>
      </c>
    </row>
    <row r="88" spans="1:10" ht="15.75">
      <c r="A88" s="555" t="s">
        <v>213</v>
      </c>
      <c r="B88" s="556" t="s">
        <v>214</v>
      </c>
      <c r="C88" s="557">
        <v>0.1</v>
      </c>
      <c r="D88" s="579">
        <v>57874</v>
      </c>
      <c r="E88" s="559">
        <f aca="true" t="shared" si="16" ref="E88:E91">G88+H88</f>
        <v>57874</v>
      </c>
      <c r="F88" s="560">
        <f t="shared" si="0"/>
        <v>1</v>
      </c>
      <c r="G88" s="561">
        <f aca="true" t="shared" si="17" ref="G88:G89">D88</f>
        <v>57874</v>
      </c>
      <c r="H88" s="561">
        <v>0</v>
      </c>
      <c r="I88" s="563">
        <f t="shared" si="1"/>
        <v>0</v>
      </c>
      <c r="J88" s="564" t="s">
        <v>865</v>
      </c>
    </row>
    <row r="89" spans="1:10" ht="15.75">
      <c r="A89" s="555" t="s">
        <v>215</v>
      </c>
      <c r="B89" s="556" t="s">
        <v>170</v>
      </c>
      <c r="C89" s="557">
        <v>0.3</v>
      </c>
      <c r="D89" s="579">
        <v>173622</v>
      </c>
      <c r="E89" s="559">
        <f t="shared" si="16"/>
        <v>173622</v>
      </c>
      <c r="F89" s="560">
        <f t="shared" si="0"/>
        <v>1</v>
      </c>
      <c r="G89" s="561">
        <f t="shared" si="17"/>
        <v>173622</v>
      </c>
      <c r="H89" s="561">
        <v>0</v>
      </c>
      <c r="I89" s="563">
        <f t="shared" si="1"/>
        <v>0</v>
      </c>
      <c r="J89" s="564" t="s">
        <v>865</v>
      </c>
    </row>
    <row r="90" spans="1:10" ht="15.75">
      <c r="A90" s="555" t="s">
        <v>216</v>
      </c>
      <c r="B90" s="556" t="s">
        <v>217</v>
      </c>
      <c r="C90" s="557">
        <v>0.3</v>
      </c>
      <c r="D90" s="579">
        <v>173622</v>
      </c>
      <c r="E90" s="559">
        <f t="shared" si="16"/>
        <v>173622</v>
      </c>
      <c r="F90" s="560">
        <f t="shared" si="0"/>
        <v>1</v>
      </c>
      <c r="G90" s="561">
        <v>173622</v>
      </c>
      <c r="H90" s="561">
        <v>0</v>
      </c>
      <c r="I90" s="563">
        <f t="shared" si="1"/>
        <v>0</v>
      </c>
      <c r="J90" s="564" t="s">
        <v>865</v>
      </c>
    </row>
    <row r="91" spans="1:10" ht="15.75">
      <c r="A91" s="555" t="s">
        <v>218</v>
      </c>
      <c r="B91" s="556" t="s">
        <v>219</v>
      </c>
      <c r="C91" s="557">
        <v>0.3</v>
      </c>
      <c r="D91" s="579">
        <v>173622</v>
      </c>
      <c r="E91" s="559">
        <f t="shared" si="16"/>
        <v>173622</v>
      </c>
      <c r="F91" s="560">
        <f t="shared" si="0"/>
        <v>1</v>
      </c>
      <c r="G91" s="561">
        <v>173622</v>
      </c>
      <c r="H91" s="561">
        <v>0</v>
      </c>
      <c r="I91" s="563">
        <f t="shared" si="1"/>
        <v>0</v>
      </c>
      <c r="J91" s="564" t="s">
        <v>865</v>
      </c>
    </row>
    <row r="92" spans="1:10" ht="30">
      <c r="A92" s="551" t="s">
        <v>220</v>
      </c>
      <c r="B92" s="591" t="s">
        <v>806</v>
      </c>
      <c r="C92" s="553">
        <v>0.05</v>
      </c>
      <c r="D92" s="554">
        <f>INT(C92*$D$49)</f>
        <v>192913</v>
      </c>
      <c r="E92" s="548">
        <f>SUM(E93:E96)</f>
        <v>192913</v>
      </c>
      <c r="F92" s="530">
        <f t="shared" si="0"/>
        <v>1</v>
      </c>
      <c r="G92" s="531">
        <f>SUM(G93:G96)</f>
        <v>192913</v>
      </c>
      <c r="H92" s="531">
        <f>SUM(H93:H96)</f>
        <v>0</v>
      </c>
      <c r="I92" s="550">
        <f t="shared" si="1"/>
        <v>0</v>
      </c>
      <c r="J92" s="533" t="s">
        <v>865</v>
      </c>
    </row>
    <row r="93" spans="1:10" ht="30">
      <c r="A93" s="555" t="s">
        <v>222</v>
      </c>
      <c r="B93" s="592" t="s">
        <v>807</v>
      </c>
      <c r="C93" s="557">
        <v>0.5</v>
      </c>
      <c r="D93" s="579">
        <v>96456.5</v>
      </c>
      <c r="E93" s="559">
        <f aca="true" t="shared" si="18" ref="E93:E96">G93+H93</f>
        <v>96456.5</v>
      </c>
      <c r="F93" s="560">
        <f t="shared" si="0"/>
        <v>1</v>
      </c>
      <c r="G93" s="561">
        <v>96456.5</v>
      </c>
      <c r="H93" s="561">
        <v>0</v>
      </c>
      <c r="I93" s="563">
        <f t="shared" si="1"/>
        <v>0</v>
      </c>
      <c r="J93" s="564" t="s">
        <v>865</v>
      </c>
    </row>
    <row r="94" spans="1:10" ht="30">
      <c r="A94" s="555" t="s">
        <v>224</v>
      </c>
      <c r="B94" s="592" t="s">
        <v>225</v>
      </c>
      <c r="C94" s="557">
        <v>0.3</v>
      </c>
      <c r="D94" s="579">
        <v>62500</v>
      </c>
      <c r="E94" s="559">
        <f t="shared" si="18"/>
        <v>62500</v>
      </c>
      <c r="F94" s="560">
        <f t="shared" si="0"/>
        <v>1</v>
      </c>
      <c r="G94" s="561">
        <v>62500</v>
      </c>
      <c r="H94" s="561">
        <v>0</v>
      </c>
      <c r="I94" s="563">
        <f t="shared" si="1"/>
        <v>0</v>
      </c>
      <c r="J94" s="564" t="s">
        <v>865</v>
      </c>
    </row>
    <row r="95" spans="1:10" ht="29.25" customHeight="1">
      <c r="A95" s="555" t="s">
        <v>226</v>
      </c>
      <c r="B95" s="592" t="s">
        <v>227</v>
      </c>
      <c r="C95" s="557">
        <v>0.0445</v>
      </c>
      <c r="D95" s="579">
        <v>18956.5</v>
      </c>
      <c r="E95" s="559">
        <f t="shared" si="18"/>
        <v>18956.5</v>
      </c>
      <c r="F95" s="560">
        <f t="shared" si="0"/>
        <v>1</v>
      </c>
      <c r="G95" s="561">
        <v>18956.5</v>
      </c>
      <c r="H95" s="561">
        <v>0</v>
      </c>
      <c r="I95" s="563">
        <f t="shared" si="1"/>
        <v>0</v>
      </c>
      <c r="J95" s="564" t="s">
        <v>865</v>
      </c>
    </row>
    <row r="96" spans="1:10" ht="30">
      <c r="A96" s="555" t="s">
        <v>228</v>
      </c>
      <c r="B96" s="592" t="s">
        <v>871</v>
      </c>
      <c r="C96" s="557">
        <v>0.0518</v>
      </c>
      <c r="D96" s="579">
        <v>15000</v>
      </c>
      <c r="E96" s="559">
        <f t="shared" si="18"/>
        <v>15000</v>
      </c>
      <c r="F96" s="560">
        <f t="shared" si="0"/>
        <v>1</v>
      </c>
      <c r="G96" s="561">
        <v>15000</v>
      </c>
      <c r="H96" s="561">
        <v>0</v>
      </c>
      <c r="I96" s="563">
        <f t="shared" si="1"/>
        <v>0</v>
      </c>
      <c r="J96" s="564" t="s">
        <v>865</v>
      </c>
    </row>
    <row r="97" spans="1:10" ht="27" customHeight="1">
      <c r="A97" s="551" t="s">
        <v>230</v>
      </c>
      <c r="B97" s="552" t="s">
        <v>231</v>
      </c>
      <c r="C97" s="553">
        <v>0.1</v>
      </c>
      <c r="D97" s="554">
        <f>INT(C97*$D$49)</f>
        <v>385826</v>
      </c>
      <c r="E97" s="548">
        <f>+E98+E99+E100+E101+E102+E103+E104+E105+E106+E107+E108+E109+E110+E113+E114+E115</f>
        <v>385828.5</v>
      </c>
      <c r="F97" s="530">
        <f t="shared" si="0"/>
        <v>1.000006479604796</v>
      </c>
      <c r="G97" s="531">
        <f>+G98+G99+G100+G101+G102++G103+G104+G105+G106+G107+G108++G109+G110+G113+G114+G115</f>
        <v>385828.5</v>
      </c>
      <c r="H97" s="531">
        <f>SUM(H98:H115)</f>
        <v>0</v>
      </c>
      <c r="I97" s="550">
        <f t="shared" si="1"/>
        <v>0</v>
      </c>
      <c r="J97" s="533" t="s">
        <v>865</v>
      </c>
    </row>
    <row r="98" spans="1:12" ht="30">
      <c r="A98" s="593" t="s">
        <v>232</v>
      </c>
      <c r="B98" s="594" t="s">
        <v>233</v>
      </c>
      <c r="C98" s="557">
        <v>0.0285</v>
      </c>
      <c r="D98" s="579">
        <v>11000</v>
      </c>
      <c r="E98" s="559">
        <f aca="true" t="shared" si="19" ref="E98:E115">G98+H98</f>
        <v>11000</v>
      </c>
      <c r="F98" s="560">
        <f t="shared" si="0"/>
        <v>1</v>
      </c>
      <c r="G98" s="561">
        <v>11000</v>
      </c>
      <c r="H98" s="561">
        <v>0</v>
      </c>
      <c r="I98" s="563">
        <f t="shared" si="1"/>
        <v>0</v>
      </c>
      <c r="J98" s="564" t="s">
        <v>865</v>
      </c>
      <c r="L98" s="595"/>
    </row>
    <row r="99" spans="1:10" ht="30">
      <c r="A99" s="593" t="s">
        <v>234</v>
      </c>
      <c r="B99" s="594" t="s">
        <v>235</v>
      </c>
      <c r="C99" s="557">
        <v>0.0181</v>
      </c>
      <c r="D99" s="579">
        <v>7000</v>
      </c>
      <c r="E99" s="559">
        <f t="shared" si="19"/>
        <v>7000</v>
      </c>
      <c r="F99" s="560">
        <f t="shared" si="0"/>
        <v>1</v>
      </c>
      <c r="G99" s="561">
        <v>7000</v>
      </c>
      <c r="H99" s="561">
        <v>0</v>
      </c>
      <c r="I99" s="563">
        <f t="shared" si="1"/>
        <v>0</v>
      </c>
      <c r="J99" s="564" t="s">
        <v>865</v>
      </c>
    </row>
    <row r="100" spans="1:10" ht="30">
      <c r="A100" s="593" t="s">
        <v>236</v>
      </c>
      <c r="B100" s="594" t="s">
        <v>237</v>
      </c>
      <c r="C100" s="557">
        <v>0.0648</v>
      </c>
      <c r="D100" s="579">
        <v>25000</v>
      </c>
      <c r="E100" s="559">
        <f t="shared" si="19"/>
        <v>25000</v>
      </c>
      <c r="F100" s="560">
        <f t="shared" si="0"/>
        <v>1</v>
      </c>
      <c r="G100" s="561">
        <v>25000</v>
      </c>
      <c r="H100" s="561">
        <v>0</v>
      </c>
      <c r="I100" s="563">
        <f t="shared" si="1"/>
        <v>0</v>
      </c>
      <c r="J100" s="564" t="s">
        <v>865</v>
      </c>
    </row>
    <row r="101" spans="1:10" ht="30">
      <c r="A101" s="593" t="s">
        <v>238</v>
      </c>
      <c r="B101" s="594" t="s">
        <v>239</v>
      </c>
      <c r="C101" s="557">
        <v>0.0285</v>
      </c>
      <c r="D101" s="579">
        <v>11000</v>
      </c>
      <c r="E101" s="559">
        <f t="shared" si="19"/>
        <v>11000</v>
      </c>
      <c r="F101" s="560">
        <f t="shared" si="0"/>
        <v>1</v>
      </c>
      <c r="G101" s="561">
        <v>11000</v>
      </c>
      <c r="H101" s="561">
        <v>0</v>
      </c>
      <c r="I101" s="563">
        <f t="shared" si="1"/>
        <v>0</v>
      </c>
      <c r="J101" s="564" t="s">
        <v>865</v>
      </c>
    </row>
    <row r="102" spans="1:10" ht="30">
      <c r="A102" s="593" t="s">
        <v>240</v>
      </c>
      <c r="B102" s="594" t="s">
        <v>241</v>
      </c>
      <c r="C102" s="557">
        <v>0.0363</v>
      </c>
      <c r="D102" s="579">
        <v>14000</v>
      </c>
      <c r="E102" s="559">
        <f t="shared" si="19"/>
        <v>14000</v>
      </c>
      <c r="F102" s="560">
        <f t="shared" si="0"/>
        <v>1</v>
      </c>
      <c r="G102" s="561">
        <v>14000</v>
      </c>
      <c r="H102" s="561">
        <v>0</v>
      </c>
      <c r="I102" s="563">
        <f t="shared" si="1"/>
        <v>0</v>
      </c>
      <c r="J102" s="564" t="s">
        <v>865</v>
      </c>
    </row>
    <row r="103" spans="1:10" ht="45">
      <c r="A103" s="593" t="s">
        <v>242</v>
      </c>
      <c r="B103" s="594" t="s">
        <v>243</v>
      </c>
      <c r="C103" s="557">
        <v>0.0726</v>
      </c>
      <c r="D103" s="579">
        <v>28000</v>
      </c>
      <c r="E103" s="559">
        <f t="shared" si="19"/>
        <v>28000</v>
      </c>
      <c r="F103" s="560">
        <f t="shared" si="0"/>
        <v>1</v>
      </c>
      <c r="G103" s="561">
        <v>28000</v>
      </c>
      <c r="H103" s="561">
        <v>0</v>
      </c>
      <c r="I103" s="563">
        <f t="shared" si="1"/>
        <v>0</v>
      </c>
      <c r="J103" s="564" t="s">
        <v>865</v>
      </c>
    </row>
    <row r="104" spans="1:10" ht="45">
      <c r="A104" s="593" t="s">
        <v>244</v>
      </c>
      <c r="B104" s="594" t="s">
        <v>245</v>
      </c>
      <c r="C104" s="557">
        <v>0.0311</v>
      </c>
      <c r="D104" s="579">
        <v>12000</v>
      </c>
      <c r="E104" s="559">
        <f t="shared" si="19"/>
        <v>12000</v>
      </c>
      <c r="F104" s="560">
        <f t="shared" si="0"/>
        <v>1</v>
      </c>
      <c r="G104" s="561">
        <v>12000</v>
      </c>
      <c r="H104" s="561">
        <v>0</v>
      </c>
      <c r="I104" s="563">
        <f t="shared" si="1"/>
        <v>0</v>
      </c>
      <c r="J104" s="564" t="s">
        <v>865</v>
      </c>
    </row>
    <row r="105" spans="1:10" ht="45">
      <c r="A105" s="593" t="s">
        <v>246</v>
      </c>
      <c r="B105" s="594" t="s">
        <v>247</v>
      </c>
      <c r="C105" s="557">
        <v>0.0117</v>
      </c>
      <c r="D105" s="579">
        <v>4500</v>
      </c>
      <c r="E105" s="559">
        <f t="shared" si="19"/>
        <v>4500</v>
      </c>
      <c r="F105" s="560">
        <f t="shared" si="0"/>
        <v>1</v>
      </c>
      <c r="G105" s="561">
        <v>4500</v>
      </c>
      <c r="H105" s="561">
        <v>0</v>
      </c>
      <c r="I105" s="563">
        <f t="shared" si="1"/>
        <v>0</v>
      </c>
      <c r="J105" s="564" t="s">
        <v>865</v>
      </c>
    </row>
    <row r="106" spans="1:10" ht="30">
      <c r="A106" s="593" t="s">
        <v>248</v>
      </c>
      <c r="B106" s="594" t="s">
        <v>249</v>
      </c>
      <c r="C106" s="557">
        <v>0.0117</v>
      </c>
      <c r="D106" s="579">
        <v>4500</v>
      </c>
      <c r="E106" s="559">
        <f t="shared" si="19"/>
        <v>4500</v>
      </c>
      <c r="F106" s="560">
        <f t="shared" si="0"/>
        <v>1</v>
      </c>
      <c r="G106" s="561">
        <v>4500</v>
      </c>
      <c r="H106" s="561">
        <v>0</v>
      </c>
      <c r="I106" s="563">
        <f t="shared" si="1"/>
        <v>0</v>
      </c>
      <c r="J106" s="564" t="s">
        <v>865</v>
      </c>
    </row>
    <row r="107" spans="1:10" ht="30">
      <c r="A107" s="593" t="s">
        <v>250</v>
      </c>
      <c r="B107" s="594" t="s">
        <v>251</v>
      </c>
      <c r="C107" s="557">
        <v>0.1296</v>
      </c>
      <c r="D107" s="579">
        <v>50000</v>
      </c>
      <c r="E107" s="559">
        <f t="shared" si="19"/>
        <v>50000</v>
      </c>
      <c r="F107" s="560">
        <f t="shared" si="0"/>
        <v>1</v>
      </c>
      <c r="G107" s="561">
        <v>50000</v>
      </c>
      <c r="H107" s="561">
        <v>0</v>
      </c>
      <c r="I107" s="563">
        <f t="shared" si="1"/>
        <v>0</v>
      </c>
      <c r="J107" s="564" t="s">
        <v>865</v>
      </c>
    </row>
    <row r="108" spans="1:10" ht="45">
      <c r="A108" s="593" t="s">
        <v>252</v>
      </c>
      <c r="B108" s="594" t="s">
        <v>253</v>
      </c>
      <c r="C108" s="557">
        <v>0.1037</v>
      </c>
      <c r="D108" s="579">
        <v>40000</v>
      </c>
      <c r="E108" s="559">
        <f t="shared" si="19"/>
        <v>40000</v>
      </c>
      <c r="F108" s="560">
        <f t="shared" si="0"/>
        <v>1</v>
      </c>
      <c r="G108" s="561">
        <v>40000</v>
      </c>
      <c r="H108" s="561">
        <v>0</v>
      </c>
      <c r="I108" s="563">
        <f t="shared" si="1"/>
        <v>0</v>
      </c>
      <c r="J108" s="564" t="s">
        <v>865</v>
      </c>
    </row>
    <row r="109" spans="1:10" ht="30">
      <c r="A109" s="593" t="s">
        <v>254</v>
      </c>
      <c r="B109" s="594" t="s">
        <v>255</v>
      </c>
      <c r="C109" s="557">
        <v>0.0648</v>
      </c>
      <c r="D109" s="579">
        <v>25000</v>
      </c>
      <c r="E109" s="559">
        <f t="shared" si="19"/>
        <v>25000</v>
      </c>
      <c r="F109" s="560">
        <f t="shared" si="0"/>
        <v>1</v>
      </c>
      <c r="G109" s="561">
        <v>25000</v>
      </c>
      <c r="H109" s="561">
        <v>0</v>
      </c>
      <c r="I109" s="563">
        <f t="shared" si="1"/>
        <v>0</v>
      </c>
      <c r="J109" s="564" t="s">
        <v>865</v>
      </c>
    </row>
    <row r="110" spans="1:10" ht="30">
      <c r="A110" s="593" t="s">
        <v>256</v>
      </c>
      <c r="B110" s="594" t="s">
        <v>257</v>
      </c>
      <c r="C110" s="557">
        <v>0.2384</v>
      </c>
      <c r="D110" s="579">
        <f>+D111+D112</f>
        <v>92000</v>
      </c>
      <c r="E110" s="559">
        <f t="shared" si="19"/>
        <v>92000</v>
      </c>
      <c r="F110" s="560">
        <f t="shared" si="0"/>
        <v>1</v>
      </c>
      <c r="G110" s="561">
        <f>+G111+G112</f>
        <v>92000</v>
      </c>
      <c r="H110" s="561">
        <v>0</v>
      </c>
      <c r="I110" s="563">
        <f t="shared" si="1"/>
        <v>0</v>
      </c>
      <c r="J110" s="564" t="s">
        <v>865</v>
      </c>
    </row>
    <row r="111" spans="1:10" ht="15.75">
      <c r="A111" s="596" t="s">
        <v>258</v>
      </c>
      <c r="B111" s="597" t="s">
        <v>259</v>
      </c>
      <c r="C111" s="598">
        <v>0.0518</v>
      </c>
      <c r="D111" s="599">
        <v>20000</v>
      </c>
      <c r="E111" s="600">
        <f t="shared" si="19"/>
        <v>20000</v>
      </c>
      <c r="F111" s="601">
        <f t="shared" si="0"/>
        <v>1</v>
      </c>
      <c r="G111" s="602">
        <v>20000</v>
      </c>
      <c r="H111" s="602">
        <v>0</v>
      </c>
      <c r="I111" s="603">
        <f t="shared" si="1"/>
        <v>0</v>
      </c>
      <c r="J111" s="604" t="s">
        <v>865</v>
      </c>
    </row>
    <row r="112" spans="1:10" ht="15.75">
      <c r="A112" s="596" t="s">
        <v>260</v>
      </c>
      <c r="B112" s="597" t="s">
        <v>261</v>
      </c>
      <c r="C112" s="598">
        <v>0.1866</v>
      </c>
      <c r="D112" s="599">
        <v>72000</v>
      </c>
      <c r="E112" s="600">
        <f t="shared" si="19"/>
        <v>72000</v>
      </c>
      <c r="F112" s="601">
        <f t="shared" si="0"/>
        <v>1</v>
      </c>
      <c r="G112" s="602">
        <v>72000</v>
      </c>
      <c r="H112" s="602">
        <v>0</v>
      </c>
      <c r="I112" s="603">
        <f t="shared" si="1"/>
        <v>0</v>
      </c>
      <c r="J112" s="604" t="s">
        <v>865</v>
      </c>
    </row>
    <row r="113" spans="1:10" ht="30">
      <c r="A113" s="593" t="s">
        <v>262</v>
      </c>
      <c r="B113" s="594" t="s">
        <v>263</v>
      </c>
      <c r="C113" s="557">
        <v>0.0518</v>
      </c>
      <c r="D113" s="579">
        <v>20000</v>
      </c>
      <c r="E113" s="559">
        <f t="shared" si="19"/>
        <v>20000</v>
      </c>
      <c r="F113" s="560">
        <f t="shared" si="0"/>
        <v>1</v>
      </c>
      <c r="G113" s="561">
        <v>20000</v>
      </c>
      <c r="H113" s="561">
        <v>0</v>
      </c>
      <c r="I113" s="563">
        <f t="shared" si="1"/>
        <v>0</v>
      </c>
      <c r="J113" s="564" t="s">
        <v>865</v>
      </c>
    </row>
    <row r="114" spans="1:10" ht="30">
      <c r="A114" s="593" t="s">
        <v>264</v>
      </c>
      <c r="B114" s="594" t="s">
        <v>265</v>
      </c>
      <c r="C114" s="557">
        <v>0.0307</v>
      </c>
      <c r="D114" s="579">
        <v>11828.5</v>
      </c>
      <c r="E114" s="559">
        <f t="shared" si="19"/>
        <v>11828.5</v>
      </c>
      <c r="F114" s="560">
        <f t="shared" si="0"/>
        <v>1</v>
      </c>
      <c r="G114" s="561">
        <v>11828.5</v>
      </c>
      <c r="H114" s="561">
        <v>0</v>
      </c>
      <c r="I114" s="563">
        <f t="shared" si="1"/>
        <v>0</v>
      </c>
      <c r="J114" s="564" t="s">
        <v>865</v>
      </c>
    </row>
    <row r="115" spans="1:10" ht="30">
      <c r="A115" s="593" t="s">
        <v>266</v>
      </c>
      <c r="B115" s="594" t="s">
        <v>267</v>
      </c>
      <c r="C115" s="557">
        <v>0.0778</v>
      </c>
      <c r="D115" s="579">
        <v>30000</v>
      </c>
      <c r="E115" s="559">
        <f t="shared" si="19"/>
        <v>30000</v>
      </c>
      <c r="F115" s="560">
        <f t="shared" si="0"/>
        <v>1</v>
      </c>
      <c r="G115" s="561">
        <v>30000</v>
      </c>
      <c r="H115" s="561">
        <v>0</v>
      </c>
      <c r="I115" s="563">
        <f t="shared" si="1"/>
        <v>0</v>
      </c>
      <c r="J115" s="564" t="s">
        <v>865</v>
      </c>
    </row>
    <row r="116" spans="1:10" ht="15.75">
      <c r="A116" s="534">
        <v>4</v>
      </c>
      <c r="B116" s="535" t="s">
        <v>872</v>
      </c>
      <c r="C116" s="536">
        <v>0.02</v>
      </c>
      <c r="D116" s="537">
        <f>$D$5*C116</f>
        <v>145595</v>
      </c>
      <c r="E116" s="538">
        <f>SUM(E117:E118)</f>
        <v>145595</v>
      </c>
      <c r="F116" s="539">
        <f t="shared" si="0"/>
        <v>1</v>
      </c>
      <c r="G116" s="540">
        <f>SUM(G117:G118)</f>
        <v>145595</v>
      </c>
      <c r="H116" s="540">
        <f>SUM(H117:H118)</f>
        <v>0</v>
      </c>
      <c r="I116" s="541">
        <f t="shared" si="1"/>
        <v>0</v>
      </c>
      <c r="J116" s="542" t="s">
        <v>865</v>
      </c>
    </row>
    <row r="117" spans="1:10" ht="15.75">
      <c r="A117" s="551" t="s">
        <v>269</v>
      </c>
      <c r="B117" s="552" t="s">
        <v>665</v>
      </c>
      <c r="C117" s="553">
        <v>0.15</v>
      </c>
      <c r="D117" s="554">
        <f>INT($D$116*C117)</f>
        <v>21839</v>
      </c>
      <c r="E117" s="548">
        <f aca="true" t="shared" si="20" ref="E117:E118">G117+H117</f>
        <v>21839</v>
      </c>
      <c r="F117" s="530">
        <f t="shared" si="0"/>
        <v>1</v>
      </c>
      <c r="G117" s="531">
        <v>21839</v>
      </c>
      <c r="H117" s="531">
        <v>0</v>
      </c>
      <c r="I117" s="550">
        <f t="shared" si="1"/>
        <v>0</v>
      </c>
      <c r="J117" s="533" t="s">
        <v>865</v>
      </c>
    </row>
    <row r="118" spans="1:10" ht="15.75">
      <c r="A118" s="551" t="s">
        <v>271</v>
      </c>
      <c r="B118" s="552" t="s">
        <v>666</v>
      </c>
      <c r="C118" s="553">
        <v>0.85</v>
      </c>
      <c r="D118" s="554">
        <f>D116-D117</f>
        <v>123756</v>
      </c>
      <c r="E118" s="548">
        <f t="shared" si="20"/>
        <v>123756</v>
      </c>
      <c r="F118" s="530">
        <f t="shared" si="0"/>
        <v>1</v>
      </c>
      <c r="G118" s="531">
        <v>123756</v>
      </c>
      <c r="H118" s="531">
        <v>0</v>
      </c>
      <c r="I118" s="550">
        <f t="shared" si="1"/>
        <v>0</v>
      </c>
      <c r="J118" s="533" t="s">
        <v>865</v>
      </c>
    </row>
    <row r="119" spans="1:10" ht="31.5">
      <c r="A119" s="605" t="s">
        <v>273</v>
      </c>
      <c r="B119" s="606" t="s">
        <v>274</v>
      </c>
      <c r="C119" s="607" t="s">
        <v>275</v>
      </c>
      <c r="D119" s="608">
        <f>D1*10.6%</f>
        <v>4171100</v>
      </c>
      <c r="E119" s="609">
        <f>SUM(E120,E193,E206,E209,E215,E240)</f>
        <v>4171100</v>
      </c>
      <c r="F119" s="610">
        <f t="shared" si="0"/>
        <v>1</v>
      </c>
      <c r="G119" s="611">
        <f>G120+G193+G206+G209+G215+G240</f>
        <v>3700762.8</v>
      </c>
      <c r="H119" s="611">
        <f>+H120+H193+H206+H209+H215+H240</f>
        <v>470337.2</v>
      </c>
      <c r="I119" s="612">
        <f t="shared" si="1"/>
        <v>0.11276095034882885</v>
      </c>
      <c r="J119" s="613" t="s">
        <v>865</v>
      </c>
    </row>
    <row r="120" spans="1:10" ht="45">
      <c r="A120" s="534">
        <v>1</v>
      </c>
      <c r="B120" s="535" t="s">
        <v>873</v>
      </c>
      <c r="C120" s="536">
        <v>0.48</v>
      </c>
      <c r="D120" s="537">
        <f>$D$119*C120</f>
        <v>2002128</v>
      </c>
      <c r="E120" s="614">
        <f>G120+H120</f>
        <v>2002129</v>
      </c>
      <c r="F120" s="539">
        <f t="shared" si="0"/>
        <v>1.0000004994685654</v>
      </c>
      <c r="G120" s="540">
        <f>+G121+G124+G131+G134+G137</f>
        <v>1619556</v>
      </c>
      <c r="H120" s="540">
        <f>+H121+H124+H131+H134+H137</f>
        <v>382573</v>
      </c>
      <c r="I120" s="541">
        <f t="shared" si="1"/>
        <v>0.19108318748851222</v>
      </c>
      <c r="J120" s="542" t="s">
        <v>865</v>
      </c>
    </row>
    <row r="121" spans="1:12" ht="30">
      <c r="A121" s="551" t="s">
        <v>10</v>
      </c>
      <c r="B121" s="552" t="s">
        <v>277</v>
      </c>
      <c r="C121" s="553">
        <v>0.04</v>
      </c>
      <c r="D121" s="554">
        <f>INT($D$120*C121)</f>
        <v>80085</v>
      </c>
      <c r="E121" s="615">
        <f>SUM(E122:E123)</f>
        <v>80085</v>
      </c>
      <c r="F121" s="530">
        <f t="shared" si="0"/>
        <v>1</v>
      </c>
      <c r="G121" s="531">
        <f>SUM(G122:G123)</f>
        <v>80085</v>
      </c>
      <c r="H121" s="531">
        <f>SUM(H122:H123)</f>
        <v>0</v>
      </c>
      <c r="I121" s="550">
        <f t="shared" si="1"/>
        <v>0</v>
      </c>
      <c r="J121" s="533" t="s">
        <v>865</v>
      </c>
      <c r="L121" s="616"/>
    </row>
    <row r="122" spans="1:10" ht="15.75">
      <c r="A122" s="555" t="s">
        <v>12</v>
      </c>
      <c r="B122" s="556" t="s">
        <v>163</v>
      </c>
      <c r="C122" s="557">
        <v>0.2508</v>
      </c>
      <c r="D122" s="579">
        <v>20085</v>
      </c>
      <c r="E122" s="617">
        <f aca="true" t="shared" si="21" ref="E122:E123">G122+H122</f>
        <v>20085</v>
      </c>
      <c r="F122" s="560">
        <f t="shared" si="0"/>
        <v>1</v>
      </c>
      <c r="G122" s="561">
        <v>20085</v>
      </c>
      <c r="H122" s="561">
        <v>0</v>
      </c>
      <c r="I122" s="563">
        <f t="shared" si="1"/>
        <v>0</v>
      </c>
      <c r="J122" s="564" t="s">
        <v>865</v>
      </c>
    </row>
    <row r="123" spans="1:10" ht="15.75">
      <c r="A123" s="555" t="s">
        <v>14</v>
      </c>
      <c r="B123" s="556" t="s">
        <v>278</v>
      </c>
      <c r="C123" s="557">
        <v>0.7492</v>
      </c>
      <c r="D123" s="579">
        <v>60000</v>
      </c>
      <c r="E123" s="617">
        <f t="shared" si="21"/>
        <v>60000</v>
      </c>
      <c r="F123" s="560">
        <f t="shared" si="0"/>
        <v>1</v>
      </c>
      <c r="G123" s="561">
        <v>60000</v>
      </c>
      <c r="H123" s="561">
        <v>0</v>
      </c>
      <c r="I123" s="563">
        <f t="shared" si="1"/>
        <v>0</v>
      </c>
      <c r="J123" s="564" t="s">
        <v>865</v>
      </c>
    </row>
    <row r="124" spans="1:10" ht="30">
      <c r="A124" s="551" t="s">
        <v>20</v>
      </c>
      <c r="B124" s="552" t="s">
        <v>813</v>
      </c>
      <c r="C124" s="553">
        <v>0.3</v>
      </c>
      <c r="D124" s="554">
        <f>INT($D$120*C124)</f>
        <v>600638</v>
      </c>
      <c r="E124" s="615">
        <f>SUM(E125:E130)</f>
        <v>600638</v>
      </c>
      <c r="F124" s="530">
        <f t="shared" si="0"/>
        <v>1</v>
      </c>
      <c r="G124" s="531">
        <f>SUM(G125:G130)</f>
        <v>600638</v>
      </c>
      <c r="H124" s="531">
        <f>SUM(H125:H130)</f>
        <v>0</v>
      </c>
      <c r="I124" s="550">
        <f t="shared" si="1"/>
        <v>0</v>
      </c>
      <c r="J124" s="533" t="s">
        <v>865</v>
      </c>
    </row>
    <row r="125" spans="1:10" ht="25.5" customHeight="1">
      <c r="A125" s="593" t="s">
        <v>22</v>
      </c>
      <c r="B125" s="594" t="s">
        <v>280</v>
      </c>
      <c r="C125" s="557">
        <v>0.3002</v>
      </c>
      <c r="D125" s="579">
        <v>180319</v>
      </c>
      <c r="E125" s="617">
        <f aca="true" t="shared" si="22" ref="E125:E130">G125+H125</f>
        <v>180319</v>
      </c>
      <c r="F125" s="560">
        <f t="shared" si="0"/>
        <v>1</v>
      </c>
      <c r="G125" s="561">
        <v>180319</v>
      </c>
      <c r="H125" s="561">
        <v>0</v>
      </c>
      <c r="I125" s="563">
        <f t="shared" si="1"/>
        <v>0</v>
      </c>
      <c r="J125" s="564" t="s">
        <v>865</v>
      </c>
    </row>
    <row r="126" spans="1:10" ht="15.75">
      <c r="A126" s="593" t="s">
        <v>24</v>
      </c>
      <c r="B126" s="594" t="s">
        <v>281</v>
      </c>
      <c r="C126" s="557">
        <v>0.1415</v>
      </c>
      <c r="D126" s="579">
        <v>85000</v>
      </c>
      <c r="E126" s="617">
        <f t="shared" si="22"/>
        <v>85000</v>
      </c>
      <c r="F126" s="560">
        <f t="shared" si="0"/>
        <v>1</v>
      </c>
      <c r="G126" s="561">
        <v>85000</v>
      </c>
      <c r="H126" s="561">
        <v>0</v>
      </c>
      <c r="I126" s="563">
        <f t="shared" si="1"/>
        <v>0</v>
      </c>
      <c r="J126" s="564" t="s">
        <v>865</v>
      </c>
    </row>
    <row r="127" spans="1:10" ht="30">
      <c r="A127" s="593" t="s">
        <v>26</v>
      </c>
      <c r="B127" s="594" t="s">
        <v>282</v>
      </c>
      <c r="C127" s="557">
        <v>0.3002</v>
      </c>
      <c r="D127" s="579">
        <v>180319</v>
      </c>
      <c r="E127" s="617">
        <f t="shared" si="22"/>
        <v>180319</v>
      </c>
      <c r="F127" s="560">
        <f t="shared" si="0"/>
        <v>1</v>
      </c>
      <c r="G127" s="561">
        <v>180319</v>
      </c>
      <c r="H127" s="561">
        <v>0</v>
      </c>
      <c r="I127" s="563">
        <f t="shared" si="1"/>
        <v>0</v>
      </c>
      <c r="J127" s="564" t="s">
        <v>865</v>
      </c>
    </row>
    <row r="128" spans="1:10" ht="15.75">
      <c r="A128" s="593" t="s">
        <v>28</v>
      </c>
      <c r="B128" s="594" t="s">
        <v>283</v>
      </c>
      <c r="C128" s="557">
        <v>0.1415</v>
      </c>
      <c r="D128" s="579">
        <v>85000</v>
      </c>
      <c r="E128" s="617">
        <f t="shared" si="22"/>
        <v>85000</v>
      </c>
      <c r="F128" s="560">
        <f t="shared" si="0"/>
        <v>1</v>
      </c>
      <c r="G128" s="561">
        <v>85000</v>
      </c>
      <c r="H128" s="561">
        <v>0</v>
      </c>
      <c r="I128" s="563">
        <f t="shared" si="1"/>
        <v>0</v>
      </c>
      <c r="J128" s="564" t="s">
        <v>865</v>
      </c>
    </row>
    <row r="129" spans="1:10" ht="30">
      <c r="A129" s="593" t="s">
        <v>30</v>
      </c>
      <c r="B129" s="594" t="s">
        <v>284</v>
      </c>
      <c r="C129" s="557">
        <v>0.0583</v>
      </c>
      <c r="D129" s="579">
        <v>35000</v>
      </c>
      <c r="E129" s="617">
        <f t="shared" si="22"/>
        <v>35000</v>
      </c>
      <c r="F129" s="560">
        <f t="shared" si="0"/>
        <v>1</v>
      </c>
      <c r="G129" s="561">
        <v>35000</v>
      </c>
      <c r="H129" s="561">
        <v>0</v>
      </c>
      <c r="I129" s="563">
        <f t="shared" si="1"/>
        <v>0</v>
      </c>
      <c r="J129" s="564" t="s">
        <v>865</v>
      </c>
    </row>
    <row r="130" spans="1:10" ht="30">
      <c r="A130" s="593" t="s">
        <v>32</v>
      </c>
      <c r="B130" s="594" t="s">
        <v>285</v>
      </c>
      <c r="C130" s="557">
        <v>0.0583</v>
      </c>
      <c r="D130" s="579">
        <v>35000</v>
      </c>
      <c r="E130" s="617">
        <f t="shared" si="22"/>
        <v>35000</v>
      </c>
      <c r="F130" s="560">
        <f t="shared" si="0"/>
        <v>1</v>
      </c>
      <c r="G130" s="561">
        <v>35000</v>
      </c>
      <c r="H130" s="561">
        <v>0</v>
      </c>
      <c r="I130" s="563">
        <f t="shared" si="1"/>
        <v>0</v>
      </c>
      <c r="J130" s="564" t="s">
        <v>865</v>
      </c>
    </row>
    <row r="131" spans="1:10" ht="15.75">
      <c r="A131" s="551" t="s">
        <v>87</v>
      </c>
      <c r="B131" s="552" t="s">
        <v>286</v>
      </c>
      <c r="C131" s="553">
        <v>0.06</v>
      </c>
      <c r="D131" s="554">
        <f>INT($D$120*C131)</f>
        <v>120127</v>
      </c>
      <c r="E131" s="615">
        <f>SUM(E132:E133)</f>
        <v>120127</v>
      </c>
      <c r="F131" s="530">
        <f t="shared" si="0"/>
        <v>1</v>
      </c>
      <c r="G131" s="531">
        <f>SUM(G132:G133)</f>
        <v>120127</v>
      </c>
      <c r="H131" s="531">
        <f>SUM(H132:H133)</f>
        <v>0</v>
      </c>
      <c r="I131" s="550">
        <f t="shared" si="1"/>
        <v>0</v>
      </c>
      <c r="J131" s="533" t="s">
        <v>865</v>
      </c>
    </row>
    <row r="132" spans="1:10" ht="15.75">
      <c r="A132" s="593" t="s">
        <v>287</v>
      </c>
      <c r="B132" s="594" t="s">
        <v>288</v>
      </c>
      <c r="C132" s="618">
        <v>0.71</v>
      </c>
      <c r="D132" s="579">
        <v>85127</v>
      </c>
      <c r="E132" s="617">
        <f aca="true" t="shared" si="23" ref="E132:E133">G132+H132</f>
        <v>85127</v>
      </c>
      <c r="F132" s="560">
        <f t="shared" si="0"/>
        <v>1</v>
      </c>
      <c r="G132" s="561">
        <v>85127</v>
      </c>
      <c r="H132" s="561">
        <v>0</v>
      </c>
      <c r="I132" s="563">
        <f t="shared" si="1"/>
        <v>0</v>
      </c>
      <c r="J132" s="564" t="s">
        <v>865</v>
      </c>
    </row>
    <row r="133" spans="1:10" ht="30">
      <c r="A133" s="593" t="s">
        <v>289</v>
      </c>
      <c r="B133" s="594" t="s">
        <v>290</v>
      </c>
      <c r="C133" s="618">
        <v>0.29</v>
      </c>
      <c r="D133" s="579">
        <v>35000</v>
      </c>
      <c r="E133" s="617">
        <f t="shared" si="23"/>
        <v>35000</v>
      </c>
      <c r="F133" s="560">
        <f t="shared" si="0"/>
        <v>1</v>
      </c>
      <c r="G133" s="561">
        <v>35000</v>
      </c>
      <c r="H133" s="561">
        <v>0</v>
      </c>
      <c r="I133" s="563">
        <f t="shared" si="1"/>
        <v>0</v>
      </c>
      <c r="J133" s="564" t="s">
        <v>865</v>
      </c>
    </row>
    <row r="134" spans="1:10" ht="15.75">
      <c r="A134" s="551" t="s">
        <v>89</v>
      </c>
      <c r="B134" s="552" t="s">
        <v>291</v>
      </c>
      <c r="C134" s="553">
        <v>0.05</v>
      </c>
      <c r="D134" s="554">
        <f>INT($D$120*C134)</f>
        <v>100106</v>
      </c>
      <c r="E134" s="615">
        <f>SUM(E135:E136)</f>
        <v>100106</v>
      </c>
      <c r="F134" s="530">
        <f t="shared" si="0"/>
        <v>1</v>
      </c>
      <c r="G134" s="531">
        <f>SUM(G135:G136)</f>
        <v>80106</v>
      </c>
      <c r="H134" s="531">
        <f>SUM(H135:H136)</f>
        <v>20000</v>
      </c>
      <c r="I134" s="550">
        <f t="shared" si="1"/>
        <v>0.19978822448204903</v>
      </c>
      <c r="J134" s="533" t="s">
        <v>865</v>
      </c>
    </row>
    <row r="135" spans="1:10" ht="15.75">
      <c r="A135" s="593" t="s">
        <v>292</v>
      </c>
      <c r="B135" s="594" t="s">
        <v>293</v>
      </c>
      <c r="C135" s="618">
        <v>0.6</v>
      </c>
      <c r="D135" s="579">
        <v>60106</v>
      </c>
      <c r="E135" s="617">
        <f aca="true" t="shared" si="24" ref="E135:E136">G135+H135</f>
        <v>60106</v>
      </c>
      <c r="F135" s="560">
        <f t="shared" si="0"/>
        <v>1</v>
      </c>
      <c r="G135" s="561">
        <v>60106</v>
      </c>
      <c r="H135" s="561">
        <v>0</v>
      </c>
      <c r="I135" s="563">
        <f t="shared" si="1"/>
        <v>0</v>
      </c>
      <c r="J135" s="564" t="s">
        <v>865</v>
      </c>
    </row>
    <row r="136" spans="1:10" ht="15.75">
      <c r="A136" s="593" t="s">
        <v>294</v>
      </c>
      <c r="B136" s="594" t="s">
        <v>295</v>
      </c>
      <c r="C136" s="618">
        <v>0.4</v>
      </c>
      <c r="D136" s="579">
        <v>40000</v>
      </c>
      <c r="E136" s="617">
        <f t="shared" si="24"/>
        <v>40000</v>
      </c>
      <c r="F136" s="560">
        <f t="shared" si="0"/>
        <v>1</v>
      </c>
      <c r="G136" s="561">
        <v>20000</v>
      </c>
      <c r="H136" s="561">
        <v>20000</v>
      </c>
      <c r="I136" s="563">
        <f t="shared" si="1"/>
        <v>0.5</v>
      </c>
      <c r="J136" s="564" t="s">
        <v>865</v>
      </c>
    </row>
    <row r="137" spans="1:10" ht="15.75">
      <c r="A137" s="551" t="s">
        <v>91</v>
      </c>
      <c r="B137" s="552" t="s">
        <v>296</v>
      </c>
      <c r="C137" s="553">
        <v>0.55</v>
      </c>
      <c r="D137" s="554">
        <f>INT($D$120*C137)</f>
        <v>1101170</v>
      </c>
      <c r="E137" s="615">
        <f>SUM(E138,E162,E182)</f>
        <v>1101173</v>
      </c>
      <c r="F137" s="530">
        <f t="shared" si="0"/>
        <v>1.000002724374983</v>
      </c>
      <c r="G137" s="531">
        <f>SUM(G138,G162,G182)</f>
        <v>738600</v>
      </c>
      <c r="H137" s="531">
        <f>SUM(H138,H162,H182)</f>
        <v>362573</v>
      </c>
      <c r="I137" s="550">
        <f t="shared" si="1"/>
        <v>0.329261603567115</v>
      </c>
      <c r="J137" s="533" t="s">
        <v>865</v>
      </c>
    </row>
    <row r="138" spans="1:10" ht="15.75">
      <c r="A138" s="593" t="s">
        <v>297</v>
      </c>
      <c r="B138" s="594" t="s">
        <v>298</v>
      </c>
      <c r="C138" s="618">
        <v>0.5</v>
      </c>
      <c r="D138" s="579">
        <v>550000</v>
      </c>
      <c r="E138" s="617">
        <f>SUM(E139:E161)</f>
        <v>550000</v>
      </c>
      <c r="F138" s="560">
        <f t="shared" si="0"/>
        <v>1</v>
      </c>
      <c r="G138" s="561">
        <f>SUM(G139:G161)</f>
        <v>387400</v>
      </c>
      <c r="H138" s="561">
        <f>SUM(H139:H161)</f>
        <v>162600</v>
      </c>
      <c r="I138" s="563">
        <f t="shared" si="1"/>
        <v>0.29563636363636364</v>
      </c>
      <c r="J138" s="564" t="s">
        <v>865</v>
      </c>
    </row>
    <row r="139" spans="1:10" ht="45">
      <c r="A139" s="619" t="s">
        <v>299</v>
      </c>
      <c r="B139" s="620" t="s">
        <v>300</v>
      </c>
      <c r="C139" s="621">
        <v>0.0382</v>
      </c>
      <c r="D139" s="585">
        <v>21000</v>
      </c>
      <c r="E139" s="622">
        <f aca="true" t="shared" si="25" ref="E139:E161">G139+H139</f>
        <v>21000</v>
      </c>
      <c r="F139" s="623">
        <f t="shared" si="0"/>
        <v>1</v>
      </c>
      <c r="G139" s="588">
        <v>21000</v>
      </c>
      <c r="H139" s="588">
        <v>0</v>
      </c>
      <c r="I139" s="624">
        <f t="shared" si="1"/>
        <v>0</v>
      </c>
      <c r="J139" s="590" t="s">
        <v>865</v>
      </c>
    </row>
    <row r="140" spans="1:10" ht="45">
      <c r="A140" s="619" t="s">
        <v>301</v>
      </c>
      <c r="B140" s="620" t="s">
        <v>302</v>
      </c>
      <c r="C140" s="621">
        <v>0.0545</v>
      </c>
      <c r="D140" s="585">
        <v>30000</v>
      </c>
      <c r="E140" s="622">
        <f t="shared" si="25"/>
        <v>30000</v>
      </c>
      <c r="F140" s="623">
        <f t="shared" si="0"/>
        <v>1</v>
      </c>
      <c r="G140" s="588">
        <v>30000</v>
      </c>
      <c r="H140" s="588">
        <v>0</v>
      </c>
      <c r="I140" s="624">
        <f t="shared" si="1"/>
        <v>0</v>
      </c>
      <c r="J140" s="590" t="s">
        <v>865</v>
      </c>
    </row>
    <row r="141" spans="1:10" ht="24.75" customHeight="1">
      <c r="A141" s="619" t="s">
        <v>303</v>
      </c>
      <c r="B141" s="620" t="s">
        <v>304</v>
      </c>
      <c r="C141" s="621">
        <v>0.0273</v>
      </c>
      <c r="D141" s="585">
        <v>15000</v>
      </c>
      <c r="E141" s="622">
        <f t="shared" si="25"/>
        <v>15000</v>
      </c>
      <c r="F141" s="623">
        <f t="shared" si="0"/>
        <v>1</v>
      </c>
      <c r="G141" s="588">
        <v>12000</v>
      </c>
      <c r="H141" s="588">
        <v>3000</v>
      </c>
      <c r="I141" s="624">
        <f t="shared" si="1"/>
        <v>0.2</v>
      </c>
      <c r="J141" s="590" t="s">
        <v>865</v>
      </c>
    </row>
    <row r="142" spans="1:10" ht="30">
      <c r="A142" s="619" t="s">
        <v>305</v>
      </c>
      <c r="B142" s="620" t="s">
        <v>306</v>
      </c>
      <c r="C142" s="621">
        <v>0.0727</v>
      </c>
      <c r="D142" s="585">
        <v>40000</v>
      </c>
      <c r="E142" s="622">
        <f t="shared" si="25"/>
        <v>40000</v>
      </c>
      <c r="F142" s="623">
        <f t="shared" si="0"/>
        <v>1</v>
      </c>
      <c r="G142" s="588">
        <v>32000</v>
      </c>
      <c r="H142" s="588">
        <v>8000</v>
      </c>
      <c r="I142" s="624">
        <f t="shared" si="1"/>
        <v>0.2</v>
      </c>
      <c r="J142" s="590" t="s">
        <v>865</v>
      </c>
    </row>
    <row r="143" spans="1:10" ht="30">
      <c r="A143" s="619" t="s">
        <v>307</v>
      </c>
      <c r="B143" s="620" t="s">
        <v>308</v>
      </c>
      <c r="C143" s="621">
        <v>0.0727</v>
      </c>
      <c r="D143" s="585">
        <v>40000</v>
      </c>
      <c r="E143" s="622">
        <f t="shared" si="25"/>
        <v>40000</v>
      </c>
      <c r="F143" s="623">
        <f t="shared" si="0"/>
        <v>1</v>
      </c>
      <c r="G143" s="588">
        <v>32000</v>
      </c>
      <c r="H143" s="588">
        <v>8000</v>
      </c>
      <c r="I143" s="624">
        <f t="shared" si="1"/>
        <v>0.2</v>
      </c>
      <c r="J143" s="590" t="s">
        <v>865</v>
      </c>
    </row>
    <row r="144" spans="1:10" ht="30">
      <c r="A144" s="619" t="s">
        <v>309</v>
      </c>
      <c r="B144" s="620" t="s">
        <v>310</v>
      </c>
      <c r="C144" s="621">
        <v>0.0273</v>
      </c>
      <c r="D144" s="585">
        <v>15000</v>
      </c>
      <c r="E144" s="622">
        <f t="shared" si="25"/>
        <v>15000</v>
      </c>
      <c r="F144" s="623">
        <f t="shared" si="0"/>
        <v>1</v>
      </c>
      <c r="G144" s="588">
        <v>12000</v>
      </c>
      <c r="H144" s="588">
        <v>3000</v>
      </c>
      <c r="I144" s="624">
        <f t="shared" si="1"/>
        <v>0.2</v>
      </c>
      <c r="J144" s="590" t="s">
        <v>865</v>
      </c>
    </row>
    <row r="145" spans="1:10" ht="15.75">
      <c r="A145" s="619" t="s">
        <v>311</v>
      </c>
      <c r="B145" s="620" t="s">
        <v>312</v>
      </c>
      <c r="C145" s="621">
        <v>0.0127</v>
      </c>
      <c r="D145" s="585">
        <v>7000</v>
      </c>
      <c r="E145" s="622">
        <f t="shared" si="25"/>
        <v>7000</v>
      </c>
      <c r="F145" s="623">
        <f t="shared" si="0"/>
        <v>1</v>
      </c>
      <c r="G145" s="588">
        <v>7000</v>
      </c>
      <c r="H145" s="588">
        <v>0</v>
      </c>
      <c r="I145" s="624">
        <f t="shared" si="1"/>
        <v>0</v>
      </c>
      <c r="J145" s="590" t="s">
        <v>865</v>
      </c>
    </row>
    <row r="146" spans="1:10" ht="30">
      <c r="A146" s="619" t="s">
        <v>313</v>
      </c>
      <c r="B146" s="620" t="s">
        <v>314</v>
      </c>
      <c r="C146" s="621">
        <v>0.0273</v>
      </c>
      <c r="D146" s="585">
        <v>15000</v>
      </c>
      <c r="E146" s="622">
        <f t="shared" si="25"/>
        <v>15000</v>
      </c>
      <c r="F146" s="623">
        <f t="shared" si="0"/>
        <v>1</v>
      </c>
      <c r="G146" s="588">
        <v>15000</v>
      </c>
      <c r="H146" s="588">
        <v>0</v>
      </c>
      <c r="I146" s="624">
        <f t="shared" si="1"/>
        <v>0</v>
      </c>
      <c r="J146" s="590" t="s">
        <v>865</v>
      </c>
    </row>
    <row r="147" spans="1:10" ht="30">
      <c r="A147" s="619" t="s">
        <v>315</v>
      </c>
      <c r="B147" s="620" t="s">
        <v>316</v>
      </c>
      <c r="C147" s="621">
        <v>0.0127</v>
      </c>
      <c r="D147" s="585">
        <v>7000</v>
      </c>
      <c r="E147" s="622">
        <f t="shared" si="25"/>
        <v>7000</v>
      </c>
      <c r="F147" s="623">
        <f t="shared" si="0"/>
        <v>1</v>
      </c>
      <c r="G147" s="588">
        <v>7000</v>
      </c>
      <c r="H147" s="588">
        <v>0</v>
      </c>
      <c r="I147" s="624">
        <f t="shared" si="1"/>
        <v>0</v>
      </c>
      <c r="J147" s="590" t="s">
        <v>865</v>
      </c>
    </row>
    <row r="148" spans="1:14" ht="30">
      <c r="A148" s="619" t="s">
        <v>317</v>
      </c>
      <c r="B148" s="620" t="s">
        <v>318</v>
      </c>
      <c r="C148" s="621">
        <v>0.0509</v>
      </c>
      <c r="D148" s="585">
        <v>28000</v>
      </c>
      <c r="E148" s="622">
        <f t="shared" si="25"/>
        <v>28000</v>
      </c>
      <c r="F148" s="623">
        <f t="shared" si="0"/>
        <v>1</v>
      </c>
      <c r="G148" s="588">
        <v>11200</v>
      </c>
      <c r="H148" s="588">
        <v>16800</v>
      </c>
      <c r="I148" s="624">
        <f t="shared" si="1"/>
        <v>0.6</v>
      </c>
      <c r="J148" s="590" t="s">
        <v>865</v>
      </c>
      <c r="N148" s="625">
        <f>28000-11200</f>
        <v>16800</v>
      </c>
    </row>
    <row r="149" spans="1:10" ht="30">
      <c r="A149" s="619" t="s">
        <v>319</v>
      </c>
      <c r="B149" s="620" t="s">
        <v>320</v>
      </c>
      <c r="C149" s="621">
        <v>0.0127</v>
      </c>
      <c r="D149" s="585">
        <v>7000</v>
      </c>
      <c r="E149" s="622">
        <f t="shared" si="25"/>
        <v>7000</v>
      </c>
      <c r="F149" s="623">
        <f t="shared" si="0"/>
        <v>1</v>
      </c>
      <c r="G149" s="588">
        <v>7000</v>
      </c>
      <c r="H149" s="588">
        <v>0</v>
      </c>
      <c r="I149" s="624">
        <f t="shared" si="1"/>
        <v>0</v>
      </c>
      <c r="J149" s="590" t="s">
        <v>865</v>
      </c>
    </row>
    <row r="150" spans="1:10" ht="30">
      <c r="A150" s="619" t="s">
        <v>321</v>
      </c>
      <c r="B150" s="620" t="s">
        <v>322</v>
      </c>
      <c r="C150" s="621">
        <v>0.0669</v>
      </c>
      <c r="D150" s="585">
        <v>36800</v>
      </c>
      <c r="E150" s="622">
        <f t="shared" si="25"/>
        <v>36800</v>
      </c>
      <c r="F150" s="623">
        <f t="shared" si="0"/>
        <v>1</v>
      </c>
      <c r="G150" s="588">
        <v>36800</v>
      </c>
      <c r="H150" s="588">
        <v>0</v>
      </c>
      <c r="I150" s="624">
        <f t="shared" si="1"/>
        <v>0</v>
      </c>
      <c r="J150" s="590" t="s">
        <v>865</v>
      </c>
    </row>
    <row r="151" spans="1:10" ht="15.75">
      <c r="A151" s="619" t="s">
        <v>323</v>
      </c>
      <c r="B151" s="620" t="s">
        <v>324</v>
      </c>
      <c r="C151" s="621">
        <v>0.04</v>
      </c>
      <c r="D151" s="585">
        <v>22000</v>
      </c>
      <c r="E151" s="622">
        <f t="shared" si="25"/>
        <v>22000</v>
      </c>
      <c r="F151" s="623">
        <f t="shared" si="0"/>
        <v>1</v>
      </c>
      <c r="G151" s="588">
        <v>22000</v>
      </c>
      <c r="H151" s="588">
        <v>0</v>
      </c>
      <c r="I151" s="624">
        <f t="shared" si="1"/>
        <v>0</v>
      </c>
      <c r="J151" s="590" t="s">
        <v>865</v>
      </c>
    </row>
    <row r="152" spans="1:10" ht="30">
      <c r="A152" s="619" t="s">
        <v>325</v>
      </c>
      <c r="B152" s="620" t="s">
        <v>326</v>
      </c>
      <c r="C152" s="621">
        <v>0.0109</v>
      </c>
      <c r="D152" s="585">
        <v>6000</v>
      </c>
      <c r="E152" s="622">
        <f t="shared" si="25"/>
        <v>6000</v>
      </c>
      <c r="F152" s="623">
        <f t="shared" si="0"/>
        <v>1</v>
      </c>
      <c r="G152" s="588">
        <v>6000</v>
      </c>
      <c r="H152" s="588">
        <v>0</v>
      </c>
      <c r="I152" s="624">
        <f t="shared" si="1"/>
        <v>0</v>
      </c>
      <c r="J152" s="590" t="s">
        <v>865</v>
      </c>
    </row>
    <row r="153" spans="1:10" ht="15.75">
      <c r="A153" s="619" t="s">
        <v>327</v>
      </c>
      <c r="B153" s="620" t="s">
        <v>328</v>
      </c>
      <c r="C153" s="621">
        <v>0.0273</v>
      </c>
      <c r="D153" s="585">
        <v>15000</v>
      </c>
      <c r="E153" s="622">
        <f t="shared" si="25"/>
        <v>15000</v>
      </c>
      <c r="F153" s="623">
        <f t="shared" si="0"/>
        <v>1</v>
      </c>
      <c r="G153" s="588">
        <v>0</v>
      </c>
      <c r="H153" s="588">
        <v>15000</v>
      </c>
      <c r="I153" s="624">
        <f t="shared" si="1"/>
        <v>1</v>
      </c>
      <c r="J153" s="590" t="s">
        <v>865</v>
      </c>
    </row>
    <row r="154" spans="1:10" ht="30">
      <c r="A154" s="619" t="s">
        <v>329</v>
      </c>
      <c r="B154" s="620" t="s">
        <v>330</v>
      </c>
      <c r="C154" s="621">
        <v>0.0109</v>
      </c>
      <c r="D154" s="585">
        <v>6000</v>
      </c>
      <c r="E154" s="622">
        <f t="shared" si="25"/>
        <v>6000</v>
      </c>
      <c r="F154" s="623">
        <f t="shared" si="0"/>
        <v>1</v>
      </c>
      <c r="G154" s="588">
        <v>0</v>
      </c>
      <c r="H154" s="588">
        <v>6000</v>
      </c>
      <c r="I154" s="624">
        <f t="shared" si="1"/>
        <v>1</v>
      </c>
      <c r="J154" s="590" t="s">
        <v>865</v>
      </c>
    </row>
    <row r="155" spans="1:10" ht="30">
      <c r="A155" s="619" t="s">
        <v>331</v>
      </c>
      <c r="B155" s="620" t="s">
        <v>332</v>
      </c>
      <c r="C155" s="621">
        <v>0.0509</v>
      </c>
      <c r="D155" s="585">
        <v>28000</v>
      </c>
      <c r="E155" s="622">
        <f t="shared" si="25"/>
        <v>28000</v>
      </c>
      <c r="F155" s="623">
        <f t="shared" si="0"/>
        <v>1</v>
      </c>
      <c r="G155" s="588">
        <v>11200</v>
      </c>
      <c r="H155" s="588">
        <v>16800</v>
      </c>
      <c r="I155" s="624">
        <f t="shared" si="1"/>
        <v>0.6</v>
      </c>
      <c r="J155" s="590" t="s">
        <v>865</v>
      </c>
    </row>
    <row r="156" spans="1:10" ht="15.75">
      <c r="A156" s="619" t="s">
        <v>333</v>
      </c>
      <c r="B156" s="620" t="s">
        <v>334</v>
      </c>
      <c r="C156" s="621">
        <v>0.0222</v>
      </c>
      <c r="D156" s="585">
        <v>12200</v>
      </c>
      <c r="E156" s="622">
        <f t="shared" si="25"/>
        <v>12200</v>
      </c>
      <c r="F156" s="623">
        <f t="shared" si="0"/>
        <v>1</v>
      </c>
      <c r="G156" s="588">
        <v>12200</v>
      </c>
      <c r="H156" s="588">
        <v>0</v>
      </c>
      <c r="I156" s="624">
        <f t="shared" si="1"/>
        <v>0</v>
      </c>
      <c r="J156" s="590" t="s">
        <v>865</v>
      </c>
    </row>
    <row r="157" spans="1:10" ht="30">
      <c r="A157" s="619" t="s">
        <v>335</v>
      </c>
      <c r="B157" s="620" t="s">
        <v>336</v>
      </c>
      <c r="C157" s="621">
        <v>0.0273</v>
      </c>
      <c r="D157" s="585">
        <v>15000</v>
      </c>
      <c r="E157" s="622">
        <f t="shared" si="25"/>
        <v>15000</v>
      </c>
      <c r="F157" s="623">
        <f t="shared" si="0"/>
        <v>1</v>
      </c>
      <c r="G157" s="588">
        <v>15000</v>
      </c>
      <c r="H157" s="588">
        <v>0</v>
      </c>
      <c r="I157" s="624">
        <f t="shared" si="1"/>
        <v>0</v>
      </c>
      <c r="J157" s="590" t="s">
        <v>865</v>
      </c>
    </row>
    <row r="158" spans="1:10" ht="45">
      <c r="A158" s="619" t="s">
        <v>337</v>
      </c>
      <c r="B158" s="620" t="s">
        <v>338</v>
      </c>
      <c r="C158" s="621">
        <v>0.0373</v>
      </c>
      <c r="D158" s="585">
        <v>20500</v>
      </c>
      <c r="E158" s="622">
        <f t="shared" si="25"/>
        <v>20500</v>
      </c>
      <c r="F158" s="623">
        <f t="shared" si="0"/>
        <v>1</v>
      </c>
      <c r="G158" s="588">
        <v>0</v>
      </c>
      <c r="H158" s="588">
        <v>20500</v>
      </c>
      <c r="I158" s="624">
        <f t="shared" si="1"/>
        <v>1</v>
      </c>
      <c r="J158" s="590" t="s">
        <v>865</v>
      </c>
    </row>
    <row r="159" spans="1:10" ht="15.75">
      <c r="A159" s="619" t="s">
        <v>339</v>
      </c>
      <c r="B159" s="620" t="s">
        <v>340</v>
      </c>
      <c r="C159" s="621">
        <v>0.0218</v>
      </c>
      <c r="D159" s="585">
        <v>12000</v>
      </c>
      <c r="E159" s="622">
        <f t="shared" si="25"/>
        <v>12000</v>
      </c>
      <c r="F159" s="623">
        <f t="shared" si="0"/>
        <v>1</v>
      </c>
      <c r="G159" s="588">
        <v>0</v>
      </c>
      <c r="H159" s="588">
        <v>12000</v>
      </c>
      <c r="I159" s="624">
        <f t="shared" si="1"/>
        <v>1</v>
      </c>
      <c r="J159" s="590" t="s">
        <v>865</v>
      </c>
    </row>
    <row r="160" spans="1:10" ht="15.75">
      <c r="A160" s="619" t="s">
        <v>341</v>
      </c>
      <c r="B160" s="620" t="s">
        <v>342</v>
      </c>
      <c r="C160" s="621">
        <v>0.0209</v>
      </c>
      <c r="D160" s="585">
        <v>11500</v>
      </c>
      <c r="E160" s="622">
        <f t="shared" si="25"/>
        <v>11500</v>
      </c>
      <c r="F160" s="623">
        <f t="shared" si="0"/>
        <v>1</v>
      </c>
      <c r="G160" s="588">
        <v>0</v>
      </c>
      <c r="H160" s="588">
        <v>11500</v>
      </c>
      <c r="I160" s="624">
        <f t="shared" si="1"/>
        <v>1</v>
      </c>
      <c r="J160" s="590" t="s">
        <v>865</v>
      </c>
    </row>
    <row r="161" spans="1:10" ht="15.75">
      <c r="A161" s="619" t="s">
        <v>343</v>
      </c>
      <c r="B161" s="620" t="s">
        <v>344</v>
      </c>
      <c r="C161" s="621">
        <v>0.2545</v>
      </c>
      <c r="D161" s="585">
        <v>140000</v>
      </c>
      <c r="E161" s="622">
        <f t="shared" si="25"/>
        <v>140000</v>
      </c>
      <c r="F161" s="623">
        <f t="shared" si="0"/>
        <v>1</v>
      </c>
      <c r="G161" s="588">
        <v>98000</v>
      </c>
      <c r="H161" s="588">
        <v>42000</v>
      </c>
      <c r="I161" s="624">
        <f t="shared" si="1"/>
        <v>0.3</v>
      </c>
      <c r="J161" s="590" t="s">
        <v>865</v>
      </c>
    </row>
    <row r="162" spans="1:10" ht="15.75">
      <c r="A162" s="593" t="s">
        <v>345</v>
      </c>
      <c r="B162" s="594" t="s">
        <v>346</v>
      </c>
      <c r="C162" s="618">
        <v>0.39</v>
      </c>
      <c r="D162" s="579">
        <v>430000</v>
      </c>
      <c r="E162" s="617">
        <f>SUM(E163:E181)</f>
        <v>430000</v>
      </c>
      <c r="F162" s="560">
        <f t="shared" si="0"/>
        <v>1</v>
      </c>
      <c r="G162" s="561">
        <f>SUM(G163:G181)</f>
        <v>280200</v>
      </c>
      <c r="H162" s="561">
        <f>SUM(H163:H181)</f>
        <v>149800</v>
      </c>
      <c r="I162" s="563">
        <f t="shared" si="1"/>
        <v>0.34837209302325584</v>
      </c>
      <c r="J162" s="564" t="s">
        <v>865</v>
      </c>
    </row>
    <row r="163" spans="1:10" ht="45">
      <c r="A163" s="619" t="s">
        <v>347</v>
      </c>
      <c r="B163" s="620" t="s">
        <v>348</v>
      </c>
      <c r="C163" s="621">
        <v>0.0698</v>
      </c>
      <c r="D163" s="585">
        <v>30000</v>
      </c>
      <c r="E163" s="622">
        <f aca="true" t="shared" si="26" ref="E163:E181">G163+H163</f>
        <v>30000</v>
      </c>
      <c r="F163" s="623">
        <f t="shared" si="0"/>
        <v>1</v>
      </c>
      <c r="G163" s="588">
        <v>30000</v>
      </c>
      <c r="H163" s="588">
        <v>0</v>
      </c>
      <c r="I163" s="624">
        <f t="shared" si="1"/>
        <v>0</v>
      </c>
      <c r="J163" s="590" t="s">
        <v>865</v>
      </c>
    </row>
    <row r="164" spans="1:10" ht="15.75">
      <c r="A164" s="619" t="s">
        <v>349</v>
      </c>
      <c r="B164" s="620" t="s">
        <v>350</v>
      </c>
      <c r="C164" s="621">
        <v>0.0465</v>
      </c>
      <c r="D164" s="585">
        <v>20000</v>
      </c>
      <c r="E164" s="622">
        <f t="shared" si="26"/>
        <v>20000</v>
      </c>
      <c r="F164" s="623">
        <f t="shared" si="0"/>
        <v>1</v>
      </c>
      <c r="G164" s="588">
        <v>12000</v>
      </c>
      <c r="H164" s="588">
        <v>8000</v>
      </c>
      <c r="I164" s="624">
        <f t="shared" si="1"/>
        <v>0.4</v>
      </c>
      <c r="J164" s="590" t="s">
        <v>865</v>
      </c>
    </row>
    <row r="165" spans="1:10" ht="15.75">
      <c r="A165" s="619" t="s">
        <v>351</v>
      </c>
      <c r="B165" s="620" t="s">
        <v>352</v>
      </c>
      <c r="C165" s="621">
        <v>0.093</v>
      </c>
      <c r="D165" s="585">
        <v>40000</v>
      </c>
      <c r="E165" s="622">
        <f t="shared" si="26"/>
        <v>40000</v>
      </c>
      <c r="F165" s="623">
        <f t="shared" si="0"/>
        <v>1</v>
      </c>
      <c r="G165" s="588">
        <v>32000</v>
      </c>
      <c r="H165" s="588">
        <v>8000</v>
      </c>
      <c r="I165" s="624">
        <f t="shared" si="1"/>
        <v>0.2</v>
      </c>
      <c r="J165" s="590" t="s">
        <v>865</v>
      </c>
    </row>
    <row r="166" spans="1:10" ht="15.75">
      <c r="A166" s="619" t="s">
        <v>353</v>
      </c>
      <c r="B166" s="620" t="s">
        <v>354</v>
      </c>
      <c r="C166" s="621">
        <v>0.093</v>
      </c>
      <c r="D166" s="585">
        <v>40000</v>
      </c>
      <c r="E166" s="622">
        <f t="shared" si="26"/>
        <v>40000</v>
      </c>
      <c r="F166" s="623">
        <f t="shared" si="0"/>
        <v>1</v>
      </c>
      <c r="G166" s="588">
        <v>32000</v>
      </c>
      <c r="H166" s="588">
        <v>8000</v>
      </c>
      <c r="I166" s="624">
        <f t="shared" si="1"/>
        <v>0.2</v>
      </c>
      <c r="J166" s="590" t="s">
        <v>865</v>
      </c>
    </row>
    <row r="167" spans="1:10" ht="15.75">
      <c r="A167" s="619" t="s">
        <v>355</v>
      </c>
      <c r="B167" s="620" t="s">
        <v>356</v>
      </c>
      <c r="C167" s="621">
        <v>0.0349</v>
      </c>
      <c r="D167" s="585">
        <v>15000</v>
      </c>
      <c r="E167" s="622">
        <f t="shared" si="26"/>
        <v>15000</v>
      </c>
      <c r="F167" s="623">
        <f t="shared" si="0"/>
        <v>1</v>
      </c>
      <c r="G167" s="588">
        <v>12000</v>
      </c>
      <c r="H167" s="588">
        <v>3000</v>
      </c>
      <c r="I167" s="624">
        <f t="shared" si="1"/>
        <v>0.2</v>
      </c>
      <c r="J167" s="590" t="s">
        <v>865</v>
      </c>
    </row>
    <row r="168" spans="1:10" ht="15.75">
      <c r="A168" s="619" t="s">
        <v>357</v>
      </c>
      <c r="B168" s="620" t="s">
        <v>358</v>
      </c>
      <c r="C168" s="621">
        <v>0.0349</v>
      </c>
      <c r="D168" s="585">
        <v>15000</v>
      </c>
      <c r="E168" s="622">
        <f t="shared" si="26"/>
        <v>15000</v>
      </c>
      <c r="F168" s="623">
        <f t="shared" si="0"/>
        <v>1</v>
      </c>
      <c r="G168" s="588">
        <v>15000</v>
      </c>
      <c r="H168" s="588">
        <v>0</v>
      </c>
      <c r="I168" s="624">
        <f t="shared" si="1"/>
        <v>0</v>
      </c>
      <c r="J168" s="590" t="s">
        <v>865</v>
      </c>
    </row>
    <row r="169" spans="1:10" ht="30">
      <c r="A169" s="619" t="s">
        <v>359</v>
      </c>
      <c r="B169" s="620" t="s">
        <v>360</v>
      </c>
      <c r="C169" s="621">
        <v>0.0256</v>
      </c>
      <c r="D169" s="585">
        <v>11000</v>
      </c>
      <c r="E169" s="622">
        <f t="shared" si="26"/>
        <v>11000</v>
      </c>
      <c r="F169" s="623">
        <f t="shared" si="0"/>
        <v>1</v>
      </c>
      <c r="G169" s="588">
        <v>11000</v>
      </c>
      <c r="H169" s="588">
        <v>0</v>
      </c>
      <c r="I169" s="624">
        <f t="shared" si="1"/>
        <v>0</v>
      </c>
      <c r="J169" s="590" t="s">
        <v>865</v>
      </c>
    </row>
    <row r="170" spans="1:10" ht="15.75">
      <c r="A170" s="619" t="s">
        <v>361</v>
      </c>
      <c r="B170" s="620" t="s">
        <v>362</v>
      </c>
      <c r="C170" s="621">
        <v>0.086</v>
      </c>
      <c r="D170" s="585">
        <v>37000</v>
      </c>
      <c r="E170" s="622">
        <f t="shared" si="26"/>
        <v>37000</v>
      </c>
      <c r="F170" s="623">
        <f t="shared" si="0"/>
        <v>1</v>
      </c>
      <c r="G170" s="588">
        <v>0</v>
      </c>
      <c r="H170" s="588">
        <v>37000</v>
      </c>
      <c r="I170" s="624">
        <f t="shared" si="1"/>
        <v>1</v>
      </c>
      <c r="J170" s="590" t="s">
        <v>865</v>
      </c>
    </row>
    <row r="171" spans="1:10" ht="30">
      <c r="A171" s="619" t="s">
        <v>363</v>
      </c>
      <c r="B171" s="620" t="s">
        <v>364</v>
      </c>
      <c r="C171" s="621">
        <v>0.0209</v>
      </c>
      <c r="D171" s="585">
        <v>9000</v>
      </c>
      <c r="E171" s="622">
        <f t="shared" si="26"/>
        <v>9000</v>
      </c>
      <c r="F171" s="623">
        <f t="shared" si="0"/>
        <v>1</v>
      </c>
      <c r="G171" s="588">
        <v>9000</v>
      </c>
      <c r="H171" s="588">
        <v>0</v>
      </c>
      <c r="I171" s="624">
        <f t="shared" si="1"/>
        <v>0</v>
      </c>
      <c r="J171" s="590" t="s">
        <v>865</v>
      </c>
    </row>
    <row r="172" spans="1:10" ht="15.75">
      <c r="A172" s="619" t="s">
        <v>365</v>
      </c>
      <c r="B172" s="620" t="s">
        <v>366</v>
      </c>
      <c r="C172" s="621">
        <v>0.1047</v>
      </c>
      <c r="D172" s="585">
        <v>45000</v>
      </c>
      <c r="E172" s="622">
        <f t="shared" si="26"/>
        <v>45000</v>
      </c>
      <c r="F172" s="623">
        <f t="shared" si="0"/>
        <v>1</v>
      </c>
      <c r="G172" s="588">
        <v>45000</v>
      </c>
      <c r="H172" s="588">
        <v>0</v>
      </c>
      <c r="I172" s="624">
        <f t="shared" si="1"/>
        <v>0</v>
      </c>
      <c r="J172" s="590" t="s">
        <v>865</v>
      </c>
    </row>
    <row r="173" spans="1:10" ht="15.75">
      <c r="A173" s="619" t="s">
        <v>367</v>
      </c>
      <c r="B173" s="620" t="s">
        <v>368</v>
      </c>
      <c r="C173" s="621">
        <v>0.0512</v>
      </c>
      <c r="D173" s="585">
        <v>22000</v>
      </c>
      <c r="E173" s="622">
        <f t="shared" si="26"/>
        <v>22000</v>
      </c>
      <c r="F173" s="623">
        <f t="shared" si="0"/>
        <v>1</v>
      </c>
      <c r="G173" s="588">
        <v>22000</v>
      </c>
      <c r="H173" s="588">
        <v>0</v>
      </c>
      <c r="I173" s="624">
        <f t="shared" si="1"/>
        <v>0</v>
      </c>
      <c r="J173" s="590" t="s">
        <v>865</v>
      </c>
    </row>
    <row r="174" spans="1:10" ht="30">
      <c r="A174" s="619" t="s">
        <v>369</v>
      </c>
      <c r="B174" s="620" t="s">
        <v>370</v>
      </c>
      <c r="C174" s="621">
        <v>0.0163</v>
      </c>
      <c r="D174" s="585">
        <v>7000</v>
      </c>
      <c r="E174" s="622">
        <f t="shared" si="26"/>
        <v>7000</v>
      </c>
      <c r="F174" s="623">
        <f t="shared" si="0"/>
        <v>1</v>
      </c>
      <c r="G174" s="588">
        <v>0</v>
      </c>
      <c r="H174" s="588">
        <v>7000</v>
      </c>
      <c r="I174" s="624">
        <f t="shared" si="1"/>
        <v>1</v>
      </c>
      <c r="J174" s="590" t="s">
        <v>865</v>
      </c>
    </row>
    <row r="175" spans="1:10" ht="15.75">
      <c r="A175" s="619" t="s">
        <v>371</v>
      </c>
      <c r="B175" s="620" t="s">
        <v>328</v>
      </c>
      <c r="C175" s="621">
        <v>0.0419</v>
      </c>
      <c r="D175" s="585">
        <v>18000</v>
      </c>
      <c r="E175" s="622">
        <f t="shared" si="26"/>
        <v>18000</v>
      </c>
      <c r="F175" s="623">
        <f t="shared" si="0"/>
        <v>1</v>
      </c>
      <c r="G175" s="588">
        <v>0</v>
      </c>
      <c r="H175" s="588">
        <v>18000</v>
      </c>
      <c r="I175" s="624">
        <f t="shared" si="1"/>
        <v>1</v>
      </c>
      <c r="J175" s="590" t="s">
        <v>865</v>
      </c>
    </row>
    <row r="176" spans="1:10" ht="30">
      <c r="A176" s="619" t="s">
        <v>372</v>
      </c>
      <c r="B176" s="620" t="s">
        <v>373</v>
      </c>
      <c r="C176" s="621">
        <v>0.0163</v>
      </c>
      <c r="D176" s="585">
        <v>7000</v>
      </c>
      <c r="E176" s="622">
        <f t="shared" si="26"/>
        <v>7000</v>
      </c>
      <c r="F176" s="623">
        <f t="shared" si="0"/>
        <v>1</v>
      </c>
      <c r="G176" s="588">
        <v>0</v>
      </c>
      <c r="H176" s="588">
        <v>7000</v>
      </c>
      <c r="I176" s="624">
        <f t="shared" si="1"/>
        <v>1</v>
      </c>
      <c r="J176" s="590" t="s">
        <v>865</v>
      </c>
    </row>
    <row r="177" spans="1:10" ht="15.75">
      <c r="A177" s="619" t="s">
        <v>374</v>
      </c>
      <c r="B177" s="620" t="s">
        <v>375</v>
      </c>
      <c r="C177" s="621">
        <v>0.0814</v>
      </c>
      <c r="D177" s="585">
        <v>35000</v>
      </c>
      <c r="E177" s="622">
        <f t="shared" si="26"/>
        <v>35000</v>
      </c>
      <c r="F177" s="623">
        <f t="shared" si="0"/>
        <v>1</v>
      </c>
      <c r="G177" s="588">
        <v>28000</v>
      </c>
      <c r="H177" s="588">
        <v>7000</v>
      </c>
      <c r="I177" s="624">
        <f t="shared" si="1"/>
        <v>0.2</v>
      </c>
      <c r="J177" s="590" t="s">
        <v>865</v>
      </c>
    </row>
    <row r="178" spans="1:10" ht="15.75">
      <c r="A178" s="619" t="s">
        <v>376</v>
      </c>
      <c r="B178" s="620" t="s">
        <v>377</v>
      </c>
      <c r="C178" s="621">
        <v>0.033</v>
      </c>
      <c r="D178" s="585">
        <v>14200</v>
      </c>
      <c r="E178" s="622">
        <f t="shared" si="26"/>
        <v>14200</v>
      </c>
      <c r="F178" s="623">
        <f t="shared" si="0"/>
        <v>1</v>
      </c>
      <c r="G178" s="588">
        <v>14200</v>
      </c>
      <c r="H178" s="588">
        <v>0</v>
      </c>
      <c r="I178" s="624">
        <f t="shared" si="1"/>
        <v>0</v>
      </c>
      <c r="J178" s="590" t="s">
        <v>865</v>
      </c>
    </row>
    <row r="179" spans="1:10" ht="15.75">
      <c r="A179" s="619" t="s">
        <v>378</v>
      </c>
      <c r="B179" s="620" t="s">
        <v>379</v>
      </c>
      <c r="C179" s="621">
        <v>0.0419</v>
      </c>
      <c r="D179" s="585">
        <v>18000</v>
      </c>
      <c r="E179" s="622">
        <f t="shared" si="26"/>
        <v>18000</v>
      </c>
      <c r="F179" s="623">
        <f t="shared" si="0"/>
        <v>1</v>
      </c>
      <c r="G179" s="588">
        <v>18000</v>
      </c>
      <c r="H179" s="588">
        <v>0</v>
      </c>
      <c r="I179" s="624">
        <f t="shared" si="1"/>
        <v>0</v>
      </c>
      <c r="J179" s="590" t="s">
        <v>865</v>
      </c>
    </row>
    <row r="180" spans="1:10" ht="30">
      <c r="A180" s="619" t="s">
        <v>380</v>
      </c>
      <c r="B180" s="620" t="s">
        <v>381</v>
      </c>
      <c r="C180" s="621">
        <v>0.0581</v>
      </c>
      <c r="D180" s="585">
        <v>25000</v>
      </c>
      <c r="E180" s="622">
        <f t="shared" si="26"/>
        <v>25000</v>
      </c>
      <c r="F180" s="623">
        <f t="shared" si="0"/>
        <v>1</v>
      </c>
      <c r="G180" s="588">
        <v>0</v>
      </c>
      <c r="H180" s="588">
        <v>25000</v>
      </c>
      <c r="I180" s="624">
        <f t="shared" si="1"/>
        <v>1</v>
      </c>
      <c r="J180" s="590" t="s">
        <v>865</v>
      </c>
    </row>
    <row r="181" spans="1:10" ht="15.75">
      <c r="A181" s="619" t="s">
        <v>382</v>
      </c>
      <c r="B181" s="620" t="s">
        <v>383</v>
      </c>
      <c r="C181" s="621">
        <v>0.0507</v>
      </c>
      <c r="D181" s="585">
        <v>21800</v>
      </c>
      <c r="E181" s="622">
        <f t="shared" si="26"/>
        <v>21800</v>
      </c>
      <c r="F181" s="623">
        <f t="shared" si="0"/>
        <v>1</v>
      </c>
      <c r="G181" s="588">
        <v>0</v>
      </c>
      <c r="H181" s="588">
        <v>21800</v>
      </c>
      <c r="I181" s="624">
        <f t="shared" si="1"/>
        <v>1</v>
      </c>
      <c r="J181" s="590" t="s">
        <v>865</v>
      </c>
    </row>
    <row r="182" spans="1:10" ht="15.75">
      <c r="A182" s="593" t="s">
        <v>384</v>
      </c>
      <c r="B182" s="594" t="s">
        <v>385</v>
      </c>
      <c r="C182" s="618">
        <v>0.11</v>
      </c>
      <c r="D182" s="579">
        <v>121172</v>
      </c>
      <c r="E182" s="617">
        <f>SUM(E183:E192)</f>
        <v>121173</v>
      </c>
      <c r="F182" s="560">
        <f t="shared" si="0"/>
        <v>1.0000082527316543</v>
      </c>
      <c r="G182" s="561">
        <f>SUM(G183:G192)</f>
        <v>71000</v>
      </c>
      <c r="H182" s="561">
        <f>SUM(H183:H192)</f>
        <v>50173</v>
      </c>
      <c r="I182" s="563">
        <f t="shared" si="1"/>
        <v>0.41406430528504934</v>
      </c>
      <c r="J182" s="564" t="s">
        <v>865</v>
      </c>
    </row>
    <row r="183" spans="1:10" ht="15.75">
      <c r="A183" s="619" t="s">
        <v>386</v>
      </c>
      <c r="B183" s="620" t="s">
        <v>387</v>
      </c>
      <c r="C183" s="621">
        <v>0.0289</v>
      </c>
      <c r="D183" s="585">
        <v>3500</v>
      </c>
      <c r="E183" s="622">
        <f aca="true" t="shared" si="27" ref="E183:E192">G183+H183</f>
        <v>3500</v>
      </c>
      <c r="F183" s="623">
        <f t="shared" si="0"/>
        <v>1</v>
      </c>
      <c r="G183" s="588">
        <v>3500</v>
      </c>
      <c r="H183" s="588">
        <v>0</v>
      </c>
      <c r="I183" s="624">
        <f t="shared" si="1"/>
        <v>0</v>
      </c>
      <c r="J183" s="590" t="s">
        <v>865</v>
      </c>
    </row>
    <row r="184" spans="1:10" ht="15.75">
      <c r="A184" s="619" t="s">
        <v>388</v>
      </c>
      <c r="B184" s="620" t="s">
        <v>389</v>
      </c>
      <c r="C184" s="621">
        <v>0.1444</v>
      </c>
      <c r="D184" s="585">
        <v>17500</v>
      </c>
      <c r="E184" s="622">
        <f t="shared" si="27"/>
        <v>17500</v>
      </c>
      <c r="F184" s="623">
        <f t="shared" si="0"/>
        <v>1</v>
      </c>
      <c r="G184" s="588">
        <v>17500</v>
      </c>
      <c r="H184" s="588">
        <v>0</v>
      </c>
      <c r="I184" s="624">
        <f t="shared" si="1"/>
        <v>0</v>
      </c>
      <c r="J184" s="590" t="s">
        <v>865</v>
      </c>
    </row>
    <row r="185" spans="1:10" ht="15.75">
      <c r="A185" s="619" t="s">
        <v>390</v>
      </c>
      <c r="B185" s="620" t="s">
        <v>391</v>
      </c>
      <c r="C185" s="621">
        <v>0.033</v>
      </c>
      <c r="D185" s="585">
        <v>4000</v>
      </c>
      <c r="E185" s="622">
        <f t="shared" si="27"/>
        <v>4000</v>
      </c>
      <c r="F185" s="623">
        <f t="shared" si="0"/>
        <v>1</v>
      </c>
      <c r="G185" s="588">
        <v>4000</v>
      </c>
      <c r="H185" s="588">
        <v>0</v>
      </c>
      <c r="I185" s="624">
        <f t="shared" si="1"/>
        <v>0</v>
      </c>
      <c r="J185" s="590" t="s">
        <v>865</v>
      </c>
    </row>
    <row r="186" spans="1:10" ht="45">
      <c r="A186" s="619" t="s">
        <v>392</v>
      </c>
      <c r="B186" s="620" t="s">
        <v>393</v>
      </c>
      <c r="C186" s="621">
        <v>0.099</v>
      </c>
      <c r="D186" s="585">
        <v>12000</v>
      </c>
      <c r="E186" s="622">
        <f t="shared" si="27"/>
        <v>12000</v>
      </c>
      <c r="F186" s="623">
        <f t="shared" si="0"/>
        <v>1</v>
      </c>
      <c r="G186" s="588">
        <v>12000</v>
      </c>
      <c r="H186" s="588">
        <v>0</v>
      </c>
      <c r="I186" s="624">
        <f t="shared" si="1"/>
        <v>0</v>
      </c>
      <c r="J186" s="590" t="s">
        <v>865</v>
      </c>
    </row>
    <row r="187" spans="1:10" ht="30">
      <c r="A187" s="619" t="s">
        <v>394</v>
      </c>
      <c r="B187" s="620" t="s">
        <v>395</v>
      </c>
      <c r="C187" s="621">
        <v>0.0578</v>
      </c>
      <c r="D187" s="585">
        <v>7000</v>
      </c>
      <c r="E187" s="622">
        <f t="shared" si="27"/>
        <v>7000</v>
      </c>
      <c r="F187" s="623">
        <f t="shared" si="0"/>
        <v>1</v>
      </c>
      <c r="G187" s="588">
        <v>7000</v>
      </c>
      <c r="H187" s="588">
        <v>0</v>
      </c>
      <c r="I187" s="624">
        <f t="shared" si="1"/>
        <v>0</v>
      </c>
      <c r="J187" s="590" t="s">
        <v>865</v>
      </c>
    </row>
    <row r="188" spans="1:10" ht="15.75">
      <c r="A188" s="619" t="s">
        <v>396</v>
      </c>
      <c r="B188" s="620" t="s">
        <v>397</v>
      </c>
      <c r="C188" s="621">
        <v>0.0578</v>
      </c>
      <c r="D188" s="585">
        <v>7000</v>
      </c>
      <c r="E188" s="622">
        <f t="shared" si="27"/>
        <v>7000</v>
      </c>
      <c r="F188" s="623">
        <f t="shared" si="0"/>
        <v>1</v>
      </c>
      <c r="G188" s="588">
        <v>7000</v>
      </c>
      <c r="H188" s="588">
        <v>0</v>
      </c>
      <c r="I188" s="624">
        <f t="shared" si="1"/>
        <v>0</v>
      </c>
      <c r="J188" s="590" t="s">
        <v>865</v>
      </c>
    </row>
    <row r="189" spans="1:10" ht="30">
      <c r="A189" s="619" t="s">
        <v>398</v>
      </c>
      <c r="B189" s="620" t="s">
        <v>399</v>
      </c>
      <c r="C189" s="621">
        <v>0.0839</v>
      </c>
      <c r="D189" s="585">
        <v>10173</v>
      </c>
      <c r="E189" s="622">
        <f t="shared" si="27"/>
        <v>10173</v>
      </c>
      <c r="F189" s="623">
        <f t="shared" si="0"/>
        <v>1</v>
      </c>
      <c r="G189" s="588">
        <v>0</v>
      </c>
      <c r="H189" s="588">
        <v>10173</v>
      </c>
      <c r="I189" s="624">
        <f t="shared" si="1"/>
        <v>1</v>
      </c>
      <c r="J189" s="590" t="s">
        <v>865</v>
      </c>
    </row>
    <row r="190" spans="1:10" ht="15.75">
      <c r="A190" s="619" t="s">
        <v>400</v>
      </c>
      <c r="B190" s="620" t="s">
        <v>401</v>
      </c>
      <c r="C190" s="621">
        <v>0.2063</v>
      </c>
      <c r="D190" s="626">
        <v>25000</v>
      </c>
      <c r="E190" s="627">
        <f t="shared" si="27"/>
        <v>25000</v>
      </c>
      <c r="F190" s="623">
        <f t="shared" si="0"/>
        <v>1</v>
      </c>
      <c r="G190" s="588">
        <v>0</v>
      </c>
      <c r="H190" s="588">
        <v>25000</v>
      </c>
      <c r="I190" s="624">
        <f t="shared" si="1"/>
        <v>1</v>
      </c>
      <c r="J190" s="590" t="s">
        <v>865</v>
      </c>
    </row>
    <row r="191" spans="1:10" ht="15.75">
      <c r="A191" s="619" t="s">
        <v>402</v>
      </c>
      <c r="B191" s="620" t="s">
        <v>403</v>
      </c>
      <c r="C191" s="621">
        <v>0.0825</v>
      </c>
      <c r="D191" s="626">
        <v>10000</v>
      </c>
      <c r="E191" s="627">
        <f t="shared" si="27"/>
        <v>10000</v>
      </c>
      <c r="F191" s="623">
        <f t="shared" si="0"/>
        <v>1</v>
      </c>
      <c r="G191" s="588">
        <v>0</v>
      </c>
      <c r="H191" s="588">
        <v>10000</v>
      </c>
      <c r="I191" s="624">
        <f t="shared" si="1"/>
        <v>1</v>
      </c>
      <c r="J191" s="590" t="s">
        <v>865</v>
      </c>
    </row>
    <row r="192" spans="1:10" ht="30">
      <c r="A192" s="619" t="s">
        <v>404</v>
      </c>
      <c r="B192" s="620" t="s">
        <v>405</v>
      </c>
      <c r="C192" s="621">
        <v>0.2063</v>
      </c>
      <c r="D192" s="626">
        <v>25000</v>
      </c>
      <c r="E192" s="627">
        <f t="shared" si="27"/>
        <v>25000</v>
      </c>
      <c r="F192" s="623">
        <f t="shared" si="0"/>
        <v>1</v>
      </c>
      <c r="G192" s="588">
        <v>20000</v>
      </c>
      <c r="H192" s="588">
        <v>5000</v>
      </c>
      <c r="I192" s="624">
        <f t="shared" si="1"/>
        <v>0.2</v>
      </c>
      <c r="J192" s="590" t="s">
        <v>865</v>
      </c>
    </row>
    <row r="193" spans="1:10" ht="30">
      <c r="A193" s="534">
        <v>2</v>
      </c>
      <c r="B193" s="535" t="s">
        <v>406</v>
      </c>
      <c r="C193" s="536">
        <v>0.31</v>
      </c>
      <c r="D193" s="628">
        <f>$D$119*C193</f>
        <v>1293041</v>
      </c>
      <c r="E193" s="629">
        <f>SUM(E194,E197,E202)</f>
        <v>1293040</v>
      </c>
      <c r="F193" s="539">
        <f t="shared" si="0"/>
        <v>0.9999992266293181</v>
      </c>
      <c r="G193" s="540">
        <f>SUM(G194,G197,G202)</f>
        <v>1293040</v>
      </c>
      <c r="H193" s="540">
        <f>SUM(H194,H197,H202)</f>
        <v>0</v>
      </c>
      <c r="I193" s="541">
        <f t="shared" si="1"/>
        <v>0</v>
      </c>
      <c r="J193" s="542" t="s">
        <v>865</v>
      </c>
    </row>
    <row r="194" spans="1:10" ht="15.75">
      <c r="A194" s="551" t="s">
        <v>62</v>
      </c>
      <c r="B194" s="552" t="s">
        <v>407</v>
      </c>
      <c r="C194" s="630">
        <v>0.2213</v>
      </c>
      <c r="D194" s="631">
        <f>INT(C194*$D$193)</f>
        <v>286149</v>
      </c>
      <c r="E194" s="632">
        <f>SUM(E195:E196)</f>
        <v>323260</v>
      </c>
      <c r="F194" s="530">
        <f t="shared" si="0"/>
        <v>1.129691174877424</v>
      </c>
      <c r="G194" s="531">
        <f>SUM(G195:G196)</f>
        <v>323260</v>
      </c>
      <c r="H194" s="531">
        <f>SUM(H195:H196)</f>
        <v>0</v>
      </c>
      <c r="I194" s="550">
        <f t="shared" si="1"/>
        <v>0</v>
      </c>
      <c r="J194" s="533" t="s">
        <v>865</v>
      </c>
    </row>
    <row r="195" spans="1:10" ht="15.75">
      <c r="A195" s="593" t="s">
        <v>408</v>
      </c>
      <c r="B195" s="594" t="s">
        <v>409</v>
      </c>
      <c r="C195" s="557">
        <v>0.3102</v>
      </c>
      <c r="D195" s="633">
        <v>100260</v>
      </c>
      <c r="E195" s="634">
        <f aca="true" t="shared" si="28" ref="E195:E196">G195+H195</f>
        <v>100260</v>
      </c>
      <c r="F195" s="560">
        <f t="shared" si="0"/>
        <v>1</v>
      </c>
      <c r="G195" s="561">
        <v>100260</v>
      </c>
      <c r="H195" s="561">
        <v>0</v>
      </c>
      <c r="I195" s="563">
        <f t="shared" si="1"/>
        <v>0</v>
      </c>
      <c r="J195" s="564" t="s">
        <v>865</v>
      </c>
    </row>
    <row r="196" spans="1:10" ht="30">
      <c r="A196" s="593" t="s">
        <v>410</v>
      </c>
      <c r="B196" s="594" t="s">
        <v>411</v>
      </c>
      <c r="C196" s="557">
        <v>0.6898</v>
      </c>
      <c r="D196" s="633">
        <v>223000</v>
      </c>
      <c r="E196" s="634">
        <f t="shared" si="28"/>
        <v>223000</v>
      </c>
      <c r="F196" s="560">
        <f t="shared" si="0"/>
        <v>1</v>
      </c>
      <c r="G196" s="561">
        <v>223000</v>
      </c>
      <c r="H196" s="561">
        <v>0</v>
      </c>
      <c r="I196" s="563">
        <f t="shared" si="1"/>
        <v>0</v>
      </c>
      <c r="J196" s="564" t="s">
        <v>865</v>
      </c>
    </row>
    <row r="197" spans="1:10" ht="15.75">
      <c r="A197" s="551" t="s">
        <v>64</v>
      </c>
      <c r="B197" s="552" t="s">
        <v>412</v>
      </c>
      <c r="C197" s="630">
        <v>0.389</v>
      </c>
      <c r="D197" s="631">
        <f>INT(C197*$D$193)</f>
        <v>502992</v>
      </c>
      <c r="E197" s="632">
        <f>SUM(E198:E201)</f>
        <v>517216</v>
      </c>
      <c r="F197" s="530">
        <f t="shared" si="0"/>
        <v>1.0282787797817858</v>
      </c>
      <c r="G197" s="531">
        <f>SUM(G198:G201)</f>
        <v>517216</v>
      </c>
      <c r="H197" s="531">
        <f>SUM(H198:H201)</f>
        <v>0</v>
      </c>
      <c r="I197" s="550">
        <f t="shared" si="1"/>
        <v>0</v>
      </c>
      <c r="J197" s="533" t="s">
        <v>865</v>
      </c>
    </row>
    <row r="198" spans="1:10" ht="15.75">
      <c r="A198" s="593" t="s">
        <v>132</v>
      </c>
      <c r="B198" s="594" t="s">
        <v>413</v>
      </c>
      <c r="C198" s="557">
        <v>0.27</v>
      </c>
      <c r="D198" s="633">
        <v>140000</v>
      </c>
      <c r="E198" s="634">
        <f aca="true" t="shared" si="29" ref="E198:E201">G198+H198</f>
        <v>140000</v>
      </c>
      <c r="F198" s="560">
        <f t="shared" si="0"/>
        <v>1</v>
      </c>
      <c r="G198" s="561">
        <v>140000</v>
      </c>
      <c r="H198" s="561">
        <v>0</v>
      </c>
      <c r="I198" s="563">
        <f t="shared" si="1"/>
        <v>0</v>
      </c>
      <c r="J198" s="564" t="s">
        <v>865</v>
      </c>
    </row>
    <row r="199" spans="1:10" ht="15.75">
      <c r="A199" s="593" t="s">
        <v>134</v>
      </c>
      <c r="B199" s="594" t="s">
        <v>414</v>
      </c>
      <c r="C199" s="557">
        <v>0.39</v>
      </c>
      <c r="D199" s="633">
        <v>201216</v>
      </c>
      <c r="E199" s="634">
        <f t="shared" si="29"/>
        <v>201216</v>
      </c>
      <c r="F199" s="560">
        <f t="shared" si="0"/>
        <v>1</v>
      </c>
      <c r="G199" s="561">
        <v>201216</v>
      </c>
      <c r="H199" s="561">
        <v>0</v>
      </c>
      <c r="I199" s="563">
        <f t="shared" si="1"/>
        <v>0</v>
      </c>
      <c r="J199" s="564" t="s">
        <v>865</v>
      </c>
    </row>
    <row r="200" spans="1:10" ht="15.75">
      <c r="A200" s="593" t="s">
        <v>415</v>
      </c>
      <c r="B200" s="594" t="s">
        <v>416</v>
      </c>
      <c r="C200" s="557">
        <v>0.19</v>
      </c>
      <c r="D200" s="633">
        <v>96000</v>
      </c>
      <c r="E200" s="634">
        <f t="shared" si="29"/>
        <v>96000</v>
      </c>
      <c r="F200" s="560">
        <f t="shared" si="0"/>
        <v>1</v>
      </c>
      <c r="G200" s="561">
        <v>96000</v>
      </c>
      <c r="H200" s="561">
        <v>0</v>
      </c>
      <c r="I200" s="563">
        <f t="shared" si="1"/>
        <v>0</v>
      </c>
      <c r="J200" s="564" t="s">
        <v>865</v>
      </c>
    </row>
    <row r="201" spans="1:10" ht="15.75">
      <c r="A201" s="593" t="s">
        <v>417</v>
      </c>
      <c r="B201" s="594" t="s">
        <v>418</v>
      </c>
      <c r="C201" s="557">
        <v>0.15</v>
      </c>
      <c r="D201" s="633">
        <v>80000</v>
      </c>
      <c r="E201" s="634">
        <f t="shared" si="29"/>
        <v>80000</v>
      </c>
      <c r="F201" s="560">
        <f t="shared" si="0"/>
        <v>1</v>
      </c>
      <c r="G201" s="561">
        <v>80000</v>
      </c>
      <c r="H201" s="561">
        <v>0</v>
      </c>
      <c r="I201" s="563">
        <f t="shared" si="1"/>
        <v>0</v>
      </c>
      <c r="J201" s="564" t="s">
        <v>865</v>
      </c>
    </row>
    <row r="202" spans="1:10" ht="15.75">
      <c r="A202" s="551" t="s">
        <v>66</v>
      </c>
      <c r="B202" s="552" t="s">
        <v>874</v>
      </c>
      <c r="C202" s="630">
        <v>0.0397</v>
      </c>
      <c r="D202" s="631">
        <v>51336</v>
      </c>
      <c r="E202" s="632">
        <f>SUM(E203:E205)</f>
        <v>452564</v>
      </c>
      <c r="F202" s="530">
        <f t="shared" si="0"/>
        <v>8.815723858500856</v>
      </c>
      <c r="G202" s="531">
        <f>SUM(G203:G205)</f>
        <v>452564</v>
      </c>
      <c r="H202" s="531">
        <f>SUM(H203:H205)</f>
        <v>0</v>
      </c>
      <c r="I202" s="550">
        <f t="shared" si="1"/>
        <v>0</v>
      </c>
      <c r="J202" s="533" t="s">
        <v>865</v>
      </c>
    </row>
    <row r="203" spans="1:10" ht="15.75">
      <c r="A203" s="593" t="s">
        <v>137</v>
      </c>
      <c r="B203" s="594" t="s">
        <v>420</v>
      </c>
      <c r="C203" s="557">
        <v>0.8176</v>
      </c>
      <c r="D203" s="633">
        <v>370000</v>
      </c>
      <c r="E203" s="634">
        <f aca="true" t="shared" si="30" ref="E203:E205">G203+H203</f>
        <v>370000</v>
      </c>
      <c r="F203" s="560">
        <f t="shared" si="0"/>
        <v>1</v>
      </c>
      <c r="G203" s="561">
        <v>370000</v>
      </c>
      <c r="H203" s="561">
        <v>0</v>
      </c>
      <c r="I203" s="563">
        <f t="shared" si="1"/>
        <v>0</v>
      </c>
      <c r="J203" s="564" t="s">
        <v>865</v>
      </c>
    </row>
    <row r="204" spans="1:10" ht="15.75">
      <c r="A204" s="593" t="s">
        <v>139</v>
      </c>
      <c r="B204" s="594" t="s">
        <v>421</v>
      </c>
      <c r="C204" s="557">
        <v>0.0884</v>
      </c>
      <c r="D204" s="633">
        <v>40000</v>
      </c>
      <c r="E204" s="634">
        <f t="shared" si="30"/>
        <v>40000</v>
      </c>
      <c r="F204" s="560">
        <f t="shared" si="0"/>
        <v>1</v>
      </c>
      <c r="G204" s="561">
        <v>40000</v>
      </c>
      <c r="H204" s="561">
        <v>0</v>
      </c>
      <c r="I204" s="563">
        <f t="shared" si="1"/>
        <v>0</v>
      </c>
      <c r="J204" s="564" t="s">
        <v>865</v>
      </c>
    </row>
    <row r="205" spans="1:10" ht="15.75">
      <c r="A205" s="593" t="s">
        <v>422</v>
      </c>
      <c r="B205" s="594" t="s">
        <v>423</v>
      </c>
      <c r="C205" s="557">
        <v>0.0941</v>
      </c>
      <c r="D205" s="633">
        <v>42564</v>
      </c>
      <c r="E205" s="634">
        <f t="shared" si="30"/>
        <v>42564</v>
      </c>
      <c r="F205" s="560">
        <f t="shared" si="0"/>
        <v>1</v>
      </c>
      <c r="G205" s="561">
        <v>42564</v>
      </c>
      <c r="H205" s="561">
        <v>0</v>
      </c>
      <c r="I205" s="563">
        <f t="shared" si="1"/>
        <v>0</v>
      </c>
      <c r="J205" s="564" t="s">
        <v>865</v>
      </c>
    </row>
    <row r="206" spans="1:10" ht="45">
      <c r="A206" s="534">
        <v>3</v>
      </c>
      <c r="B206" s="535" t="s">
        <v>424</v>
      </c>
      <c r="C206" s="536">
        <v>0.01</v>
      </c>
      <c r="D206" s="537">
        <f>$D$119*C206</f>
        <v>41711</v>
      </c>
      <c r="E206" s="614">
        <f>SUM(E207:E208)</f>
        <v>41711</v>
      </c>
      <c r="F206" s="539">
        <f t="shared" si="0"/>
        <v>1</v>
      </c>
      <c r="G206" s="540">
        <f>SUM(G207:G208)</f>
        <v>0</v>
      </c>
      <c r="H206" s="540">
        <f>SUM(H207:H208)</f>
        <v>41711</v>
      </c>
      <c r="I206" s="541">
        <f t="shared" si="1"/>
        <v>1</v>
      </c>
      <c r="J206" s="542" t="s">
        <v>865</v>
      </c>
    </row>
    <row r="207" spans="1:10" ht="30">
      <c r="A207" s="544" t="s">
        <v>71</v>
      </c>
      <c r="B207" s="635" t="s">
        <v>875</v>
      </c>
      <c r="C207" s="546">
        <v>0.1199</v>
      </c>
      <c r="D207" s="636">
        <v>5000</v>
      </c>
      <c r="E207" s="615">
        <f aca="true" t="shared" si="31" ref="E207:E208">G207+H207</f>
        <v>5000</v>
      </c>
      <c r="F207" s="530">
        <f t="shared" si="0"/>
        <v>1</v>
      </c>
      <c r="G207" s="531">
        <v>0</v>
      </c>
      <c r="H207" s="531">
        <v>5000</v>
      </c>
      <c r="I207" s="550">
        <f t="shared" si="1"/>
        <v>1</v>
      </c>
      <c r="J207" s="533" t="s">
        <v>865</v>
      </c>
    </row>
    <row r="208" spans="1:10" ht="15.75">
      <c r="A208" s="544" t="s">
        <v>73</v>
      </c>
      <c r="B208" s="635" t="s">
        <v>425</v>
      </c>
      <c r="C208" s="546">
        <v>0.8801</v>
      </c>
      <c r="D208" s="636">
        <v>36711</v>
      </c>
      <c r="E208" s="615">
        <f t="shared" si="31"/>
        <v>36711</v>
      </c>
      <c r="F208" s="530">
        <f t="shared" si="0"/>
        <v>1</v>
      </c>
      <c r="G208" s="531">
        <v>0</v>
      </c>
      <c r="H208" s="531">
        <v>36711</v>
      </c>
      <c r="I208" s="550">
        <f t="shared" si="1"/>
        <v>1</v>
      </c>
      <c r="J208" s="533" t="s">
        <v>865</v>
      </c>
    </row>
    <row r="209" spans="1:10" ht="30">
      <c r="A209" s="534">
        <v>4</v>
      </c>
      <c r="B209" s="535" t="s">
        <v>426</v>
      </c>
      <c r="C209" s="536">
        <v>0.06</v>
      </c>
      <c r="D209" s="537">
        <f>$D$119*C209</f>
        <v>250266</v>
      </c>
      <c r="E209" s="614">
        <f>SUM(E210:E214)</f>
        <v>250266</v>
      </c>
      <c r="F209" s="539">
        <f t="shared" si="0"/>
        <v>1</v>
      </c>
      <c r="G209" s="540">
        <f>SUM(G210:G214)</f>
        <v>204212.8</v>
      </c>
      <c r="H209" s="540">
        <f>SUM(H210:H214)</f>
        <v>46053.2</v>
      </c>
      <c r="I209" s="541">
        <f t="shared" si="1"/>
        <v>0.18401700590571632</v>
      </c>
      <c r="J209" s="542" t="s">
        <v>865</v>
      </c>
    </row>
    <row r="210" spans="1:10" ht="15.75">
      <c r="A210" s="544" t="s">
        <v>269</v>
      </c>
      <c r="B210" s="552" t="s">
        <v>427</v>
      </c>
      <c r="C210" s="546">
        <v>0.0799</v>
      </c>
      <c r="D210" s="637">
        <v>20000</v>
      </c>
      <c r="E210" s="615">
        <f aca="true" t="shared" si="32" ref="E210:E214">G210+H210</f>
        <v>20000</v>
      </c>
      <c r="F210" s="530">
        <f t="shared" si="0"/>
        <v>1</v>
      </c>
      <c r="G210" s="531">
        <v>20000</v>
      </c>
      <c r="H210" s="531">
        <v>0</v>
      </c>
      <c r="I210" s="550">
        <f t="shared" si="1"/>
        <v>0</v>
      </c>
      <c r="J210" s="533" t="s">
        <v>865</v>
      </c>
    </row>
    <row r="211" spans="1:10" ht="30">
      <c r="A211" s="544" t="s">
        <v>271</v>
      </c>
      <c r="B211" s="552" t="s">
        <v>428</v>
      </c>
      <c r="C211" s="546">
        <v>0.3197</v>
      </c>
      <c r="D211" s="637">
        <v>80000</v>
      </c>
      <c r="E211" s="615">
        <f t="shared" si="32"/>
        <v>80000</v>
      </c>
      <c r="F211" s="530">
        <f t="shared" si="0"/>
        <v>1</v>
      </c>
      <c r="G211" s="531">
        <v>80000</v>
      </c>
      <c r="H211" s="531">
        <v>0</v>
      </c>
      <c r="I211" s="550">
        <f t="shared" si="1"/>
        <v>0</v>
      </c>
      <c r="J211" s="533" t="s">
        <v>865</v>
      </c>
    </row>
    <row r="212" spans="1:12" ht="30">
      <c r="A212" s="544" t="s">
        <v>429</v>
      </c>
      <c r="B212" s="552" t="s">
        <v>430</v>
      </c>
      <c r="C212" s="546">
        <v>0.5205</v>
      </c>
      <c r="D212" s="637">
        <v>130266</v>
      </c>
      <c r="E212" s="615">
        <f t="shared" si="32"/>
        <v>130266</v>
      </c>
      <c r="F212" s="530">
        <f t="shared" si="0"/>
        <v>1</v>
      </c>
      <c r="G212" s="531">
        <v>104212.8</v>
      </c>
      <c r="H212" s="531">
        <v>26053.2</v>
      </c>
      <c r="I212" s="550">
        <f t="shared" si="1"/>
        <v>0.2</v>
      </c>
      <c r="J212" s="533" t="s">
        <v>865</v>
      </c>
      <c r="L212" s="638">
        <f>D212-G212</f>
        <v>26053.199999999997</v>
      </c>
    </row>
    <row r="213" spans="1:10" ht="30">
      <c r="A213" s="544" t="s">
        <v>431</v>
      </c>
      <c r="B213" s="552" t="s">
        <v>432</v>
      </c>
      <c r="C213" s="546">
        <v>0.0599</v>
      </c>
      <c r="D213" s="637">
        <v>15000</v>
      </c>
      <c r="E213" s="615">
        <f t="shared" si="32"/>
        <v>15000</v>
      </c>
      <c r="F213" s="530">
        <f t="shared" si="0"/>
        <v>1</v>
      </c>
      <c r="G213" s="531">
        <v>0</v>
      </c>
      <c r="H213" s="531">
        <v>15000</v>
      </c>
      <c r="I213" s="550">
        <f t="shared" si="1"/>
        <v>1</v>
      </c>
      <c r="J213" s="533" t="s">
        <v>865</v>
      </c>
    </row>
    <row r="214" spans="1:10" ht="30">
      <c r="A214" s="544" t="s">
        <v>433</v>
      </c>
      <c r="B214" s="552" t="s">
        <v>434</v>
      </c>
      <c r="C214" s="546">
        <v>0.02</v>
      </c>
      <c r="D214" s="637">
        <v>5000</v>
      </c>
      <c r="E214" s="615">
        <f t="shared" si="32"/>
        <v>5000</v>
      </c>
      <c r="F214" s="530">
        <f t="shared" si="0"/>
        <v>1</v>
      </c>
      <c r="G214" s="531">
        <v>0</v>
      </c>
      <c r="H214" s="531">
        <v>5000</v>
      </c>
      <c r="I214" s="550">
        <f t="shared" si="1"/>
        <v>1</v>
      </c>
      <c r="J214" s="533" t="s">
        <v>865</v>
      </c>
    </row>
    <row r="215" spans="1:10" ht="45">
      <c r="A215" s="534">
        <v>5</v>
      </c>
      <c r="B215" s="535" t="s">
        <v>876</v>
      </c>
      <c r="C215" s="536">
        <v>0.1</v>
      </c>
      <c r="D215" s="537">
        <f>$D$119*C215</f>
        <v>417110</v>
      </c>
      <c r="E215" s="614">
        <f>SUM(E216:E219,E223:E226,E230:E231)</f>
        <v>417110</v>
      </c>
      <c r="F215" s="639">
        <f t="shared" si="0"/>
        <v>1</v>
      </c>
      <c r="G215" s="540">
        <f>SUM(G216:G219,G223:G226,G230:G231)</f>
        <v>417110</v>
      </c>
      <c r="H215" s="540">
        <f>SUM(H216:H219,H223:H226,H230:H231)</f>
        <v>0</v>
      </c>
      <c r="I215" s="640">
        <f t="shared" si="1"/>
        <v>0</v>
      </c>
      <c r="J215" s="542" t="s">
        <v>865</v>
      </c>
    </row>
    <row r="216" spans="1:10" ht="20.25" customHeight="1">
      <c r="A216" s="551" t="s">
        <v>436</v>
      </c>
      <c r="B216" s="552" t="s">
        <v>407</v>
      </c>
      <c r="C216" s="553">
        <v>0.12</v>
      </c>
      <c r="D216" s="554">
        <v>10000</v>
      </c>
      <c r="E216" s="615">
        <f aca="true" t="shared" si="33" ref="E216:E218">G216+H216</f>
        <v>10000</v>
      </c>
      <c r="F216" s="530">
        <f t="shared" si="0"/>
        <v>1</v>
      </c>
      <c r="G216" s="531">
        <v>10000</v>
      </c>
      <c r="H216" s="531">
        <v>0</v>
      </c>
      <c r="I216" s="550">
        <f t="shared" si="1"/>
        <v>0</v>
      </c>
      <c r="J216" s="533" t="s">
        <v>865</v>
      </c>
    </row>
    <row r="217" spans="1:10" ht="29.25" customHeight="1">
      <c r="A217" s="551" t="s">
        <v>437</v>
      </c>
      <c r="B217" s="552" t="s">
        <v>438</v>
      </c>
      <c r="C217" s="553">
        <v>0.3</v>
      </c>
      <c r="D217" s="554">
        <v>30000</v>
      </c>
      <c r="E217" s="615">
        <f t="shared" si="33"/>
        <v>30000</v>
      </c>
      <c r="F217" s="530">
        <f t="shared" si="0"/>
        <v>1</v>
      </c>
      <c r="G217" s="531">
        <v>30000</v>
      </c>
      <c r="H217" s="531">
        <v>0</v>
      </c>
      <c r="I217" s="550">
        <f t="shared" si="1"/>
        <v>0</v>
      </c>
      <c r="J217" s="533" t="s">
        <v>865</v>
      </c>
    </row>
    <row r="218" spans="1:10" ht="30">
      <c r="A218" s="551" t="s">
        <v>439</v>
      </c>
      <c r="B218" s="552" t="s">
        <v>440</v>
      </c>
      <c r="C218" s="553">
        <v>0.35</v>
      </c>
      <c r="D218" s="554">
        <v>20000</v>
      </c>
      <c r="E218" s="615">
        <f t="shared" si="33"/>
        <v>20000</v>
      </c>
      <c r="F218" s="530">
        <f t="shared" si="0"/>
        <v>1</v>
      </c>
      <c r="G218" s="531">
        <v>20000</v>
      </c>
      <c r="H218" s="531">
        <v>0</v>
      </c>
      <c r="I218" s="550">
        <f t="shared" si="1"/>
        <v>0</v>
      </c>
      <c r="J218" s="533" t="s">
        <v>865</v>
      </c>
    </row>
    <row r="219" spans="1:10" ht="30">
      <c r="A219" s="551" t="s">
        <v>441</v>
      </c>
      <c r="B219" s="552" t="s">
        <v>442</v>
      </c>
      <c r="C219" s="553">
        <v>0.23</v>
      </c>
      <c r="D219" s="554">
        <v>37000</v>
      </c>
      <c r="E219" s="615">
        <f>SUM(E220:E222)</f>
        <v>37000</v>
      </c>
      <c r="F219" s="530">
        <f t="shared" si="0"/>
        <v>1</v>
      </c>
      <c r="G219" s="531">
        <f>SUM(G220:G222)</f>
        <v>37000</v>
      </c>
      <c r="H219" s="531">
        <f>SUM(H220:H222)</f>
        <v>0</v>
      </c>
      <c r="I219" s="550">
        <f t="shared" si="1"/>
        <v>0</v>
      </c>
      <c r="J219" s="533" t="s">
        <v>865</v>
      </c>
    </row>
    <row r="220" spans="1:10" ht="15.75">
      <c r="A220" s="593" t="s">
        <v>443</v>
      </c>
      <c r="B220" s="594" t="s">
        <v>133</v>
      </c>
      <c r="C220" s="557">
        <v>0.22</v>
      </c>
      <c r="D220" s="579">
        <v>8000</v>
      </c>
      <c r="E220" s="617">
        <f aca="true" t="shared" si="34" ref="E220:E225">G220+H220</f>
        <v>8000</v>
      </c>
      <c r="F220" s="560">
        <f t="shared" si="0"/>
        <v>1</v>
      </c>
      <c r="G220" s="561">
        <v>8000</v>
      </c>
      <c r="H220" s="561">
        <v>0</v>
      </c>
      <c r="I220" s="563">
        <f t="shared" si="1"/>
        <v>0</v>
      </c>
      <c r="J220" s="564" t="s">
        <v>865</v>
      </c>
    </row>
    <row r="221" spans="1:10" ht="30">
      <c r="A221" s="593" t="s">
        <v>444</v>
      </c>
      <c r="B221" s="594" t="s">
        <v>445</v>
      </c>
      <c r="C221" s="557">
        <v>0.46</v>
      </c>
      <c r="D221" s="579">
        <v>17000</v>
      </c>
      <c r="E221" s="617">
        <f t="shared" si="34"/>
        <v>17000</v>
      </c>
      <c r="F221" s="560">
        <f t="shared" si="0"/>
        <v>1</v>
      </c>
      <c r="G221" s="561">
        <v>17000</v>
      </c>
      <c r="H221" s="561">
        <v>0</v>
      </c>
      <c r="I221" s="563">
        <f t="shared" si="1"/>
        <v>0</v>
      </c>
      <c r="J221" s="564" t="s">
        <v>865</v>
      </c>
    </row>
    <row r="222" spans="1:10" ht="30">
      <c r="A222" s="593" t="s">
        <v>446</v>
      </c>
      <c r="B222" s="594" t="s">
        <v>447</v>
      </c>
      <c r="C222" s="557">
        <v>0.32</v>
      </c>
      <c r="D222" s="579">
        <v>12000</v>
      </c>
      <c r="E222" s="617">
        <f t="shared" si="34"/>
        <v>12000</v>
      </c>
      <c r="F222" s="560">
        <f t="shared" si="0"/>
        <v>1</v>
      </c>
      <c r="G222" s="561">
        <v>12000</v>
      </c>
      <c r="H222" s="561">
        <v>0</v>
      </c>
      <c r="I222" s="563">
        <f t="shared" si="1"/>
        <v>0</v>
      </c>
      <c r="J222" s="564" t="s">
        <v>865</v>
      </c>
    </row>
    <row r="223" spans="1:10" ht="15.75">
      <c r="A223" s="551" t="s">
        <v>448</v>
      </c>
      <c r="B223" s="552" t="s">
        <v>449</v>
      </c>
      <c r="C223" s="546">
        <v>0.1918</v>
      </c>
      <c r="D223" s="637">
        <v>80000</v>
      </c>
      <c r="E223" s="615">
        <f t="shared" si="34"/>
        <v>80000</v>
      </c>
      <c r="F223" s="530">
        <f t="shared" si="0"/>
        <v>1</v>
      </c>
      <c r="G223" s="531">
        <v>80000</v>
      </c>
      <c r="H223" s="531">
        <v>0</v>
      </c>
      <c r="I223" s="550">
        <f t="shared" si="1"/>
        <v>0</v>
      </c>
      <c r="J223" s="533" t="s">
        <v>865</v>
      </c>
    </row>
    <row r="224" spans="1:10" ht="15.75">
      <c r="A224" s="551" t="s">
        <v>450</v>
      </c>
      <c r="B224" s="552" t="s">
        <v>451</v>
      </c>
      <c r="C224" s="546">
        <v>0.0479</v>
      </c>
      <c r="D224" s="637">
        <v>20000</v>
      </c>
      <c r="E224" s="615">
        <f t="shared" si="34"/>
        <v>20000</v>
      </c>
      <c r="F224" s="530">
        <f t="shared" si="0"/>
        <v>1</v>
      </c>
      <c r="G224" s="531">
        <v>20000</v>
      </c>
      <c r="H224" s="531">
        <v>0</v>
      </c>
      <c r="I224" s="550">
        <f t="shared" si="1"/>
        <v>0</v>
      </c>
      <c r="J224" s="533" t="s">
        <v>865</v>
      </c>
    </row>
    <row r="225" spans="1:10" ht="30">
      <c r="A225" s="551" t="s">
        <v>452</v>
      </c>
      <c r="B225" s="552" t="s">
        <v>453</v>
      </c>
      <c r="C225" s="546">
        <v>0.036</v>
      </c>
      <c r="D225" s="637">
        <v>15000</v>
      </c>
      <c r="E225" s="615">
        <f t="shared" si="34"/>
        <v>15000</v>
      </c>
      <c r="F225" s="530">
        <f t="shared" si="0"/>
        <v>1</v>
      </c>
      <c r="G225" s="531">
        <v>15000</v>
      </c>
      <c r="H225" s="531">
        <v>0</v>
      </c>
      <c r="I225" s="550">
        <f t="shared" si="1"/>
        <v>0</v>
      </c>
      <c r="J225" s="533" t="s">
        <v>865</v>
      </c>
    </row>
    <row r="226" spans="1:10" ht="15.75">
      <c r="A226" s="551" t="s">
        <v>454</v>
      </c>
      <c r="B226" s="552" t="s">
        <v>455</v>
      </c>
      <c r="C226" s="546">
        <v>0.2016</v>
      </c>
      <c r="D226" s="637">
        <f>+D227+D228+D229</f>
        <v>84110</v>
      </c>
      <c r="E226" s="615">
        <f>SUM(E227:E229)</f>
        <v>84110</v>
      </c>
      <c r="F226" s="530">
        <f t="shared" si="0"/>
        <v>1</v>
      </c>
      <c r="G226" s="531">
        <f>SUM(G227:G229)</f>
        <v>84110</v>
      </c>
      <c r="H226" s="531">
        <f>SUM(H227:H229)</f>
        <v>0</v>
      </c>
      <c r="I226" s="550">
        <f t="shared" si="1"/>
        <v>0</v>
      </c>
      <c r="J226" s="533" t="s">
        <v>865</v>
      </c>
    </row>
    <row r="227" spans="1:10" ht="15.75">
      <c r="A227" s="593" t="s">
        <v>456</v>
      </c>
      <c r="B227" s="594" t="s">
        <v>457</v>
      </c>
      <c r="C227" s="557">
        <v>0.4161</v>
      </c>
      <c r="D227" s="579">
        <v>35000</v>
      </c>
      <c r="E227" s="617">
        <f aca="true" t="shared" si="35" ref="E227:E230">G227+H227</f>
        <v>35000</v>
      </c>
      <c r="F227" s="560">
        <f t="shared" si="0"/>
        <v>1</v>
      </c>
      <c r="G227" s="561">
        <v>35000</v>
      </c>
      <c r="H227" s="561">
        <v>0</v>
      </c>
      <c r="I227" s="563">
        <f t="shared" si="1"/>
        <v>0</v>
      </c>
      <c r="J227" s="564" t="s">
        <v>865</v>
      </c>
    </row>
    <row r="228" spans="1:10" ht="15.75">
      <c r="A228" s="593" t="s">
        <v>458</v>
      </c>
      <c r="B228" s="594" t="s">
        <v>459</v>
      </c>
      <c r="C228" s="557">
        <v>0.2378</v>
      </c>
      <c r="D228" s="579">
        <v>20000</v>
      </c>
      <c r="E228" s="617">
        <f t="shared" si="35"/>
        <v>20000</v>
      </c>
      <c r="F228" s="560">
        <f t="shared" si="0"/>
        <v>1</v>
      </c>
      <c r="G228" s="561">
        <v>20000</v>
      </c>
      <c r="H228" s="561">
        <v>0</v>
      </c>
      <c r="I228" s="563">
        <f t="shared" si="1"/>
        <v>0</v>
      </c>
      <c r="J228" s="564" t="s">
        <v>865</v>
      </c>
    </row>
    <row r="229" spans="1:10" ht="30">
      <c r="A229" s="593" t="s">
        <v>460</v>
      </c>
      <c r="B229" s="594" t="s">
        <v>461</v>
      </c>
      <c r="C229" s="557">
        <v>0.3461</v>
      </c>
      <c r="D229" s="579">
        <v>29110</v>
      </c>
      <c r="E229" s="617">
        <f t="shared" si="35"/>
        <v>29110</v>
      </c>
      <c r="F229" s="560">
        <f t="shared" si="0"/>
        <v>1</v>
      </c>
      <c r="G229" s="561">
        <v>29110</v>
      </c>
      <c r="H229" s="561">
        <v>0</v>
      </c>
      <c r="I229" s="563">
        <f t="shared" si="1"/>
        <v>0</v>
      </c>
      <c r="J229" s="564" t="s">
        <v>865</v>
      </c>
    </row>
    <row r="230" spans="1:10" ht="15.75">
      <c r="A230" s="551" t="s">
        <v>462</v>
      </c>
      <c r="B230" s="552" t="s">
        <v>463</v>
      </c>
      <c r="C230" s="546">
        <v>0.0719</v>
      </c>
      <c r="D230" s="637">
        <v>30000</v>
      </c>
      <c r="E230" s="615">
        <f t="shared" si="35"/>
        <v>30000</v>
      </c>
      <c r="F230" s="530">
        <f t="shared" si="0"/>
        <v>1</v>
      </c>
      <c r="G230" s="531">
        <v>30000</v>
      </c>
      <c r="H230" s="531">
        <v>0</v>
      </c>
      <c r="I230" s="550">
        <f t="shared" si="1"/>
        <v>0</v>
      </c>
      <c r="J230" s="533" t="s">
        <v>865</v>
      </c>
    </row>
    <row r="231" spans="1:10" ht="33" customHeight="1">
      <c r="A231" s="551" t="s">
        <v>464</v>
      </c>
      <c r="B231" s="552" t="s">
        <v>465</v>
      </c>
      <c r="C231" s="546">
        <v>0.2182</v>
      </c>
      <c r="D231" s="637">
        <f>SUM(D232:D239)</f>
        <v>91000</v>
      </c>
      <c r="E231" s="615">
        <f>SUM(E232:E239)</f>
        <v>91000</v>
      </c>
      <c r="F231" s="530">
        <f t="shared" si="0"/>
        <v>1</v>
      </c>
      <c r="G231" s="531">
        <f>SUM(G232:G239)</f>
        <v>91000</v>
      </c>
      <c r="H231" s="531">
        <f>SUM(H232:H239)</f>
        <v>0</v>
      </c>
      <c r="I231" s="550">
        <f t="shared" si="1"/>
        <v>0</v>
      </c>
      <c r="J231" s="533" t="s">
        <v>865</v>
      </c>
    </row>
    <row r="232" spans="1:10" ht="30">
      <c r="A232" s="593" t="s">
        <v>466</v>
      </c>
      <c r="B232" s="594" t="s">
        <v>467</v>
      </c>
      <c r="C232" s="557">
        <v>0.1429</v>
      </c>
      <c r="D232" s="579">
        <v>13000</v>
      </c>
      <c r="E232" s="617">
        <f aca="true" t="shared" si="36" ref="E232:E239">G232+H232</f>
        <v>13000</v>
      </c>
      <c r="F232" s="560">
        <f t="shared" si="0"/>
        <v>1</v>
      </c>
      <c r="G232" s="561">
        <v>13000</v>
      </c>
      <c r="H232" s="561">
        <v>0</v>
      </c>
      <c r="I232" s="563">
        <f t="shared" si="1"/>
        <v>0</v>
      </c>
      <c r="J232" s="564" t="s">
        <v>865</v>
      </c>
    </row>
    <row r="233" spans="1:10" ht="45">
      <c r="A233" s="593" t="s">
        <v>468</v>
      </c>
      <c r="B233" s="594" t="s">
        <v>469</v>
      </c>
      <c r="C233" s="557">
        <v>0.0879</v>
      </c>
      <c r="D233" s="579">
        <v>8000</v>
      </c>
      <c r="E233" s="617">
        <f t="shared" si="36"/>
        <v>8000</v>
      </c>
      <c r="F233" s="560">
        <f t="shared" si="0"/>
        <v>1</v>
      </c>
      <c r="G233" s="561">
        <v>8000</v>
      </c>
      <c r="H233" s="561">
        <v>0</v>
      </c>
      <c r="I233" s="563">
        <f t="shared" si="1"/>
        <v>0</v>
      </c>
      <c r="J233" s="564" t="s">
        <v>865</v>
      </c>
    </row>
    <row r="234" spans="1:10" ht="45">
      <c r="A234" s="593" t="s">
        <v>470</v>
      </c>
      <c r="B234" s="594" t="s">
        <v>471</v>
      </c>
      <c r="C234" s="557">
        <v>0.0549</v>
      </c>
      <c r="D234" s="579">
        <v>5000</v>
      </c>
      <c r="E234" s="617">
        <f t="shared" si="36"/>
        <v>5000</v>
      </c>
      <c r="F234" s="560">
        <f t="shared" si="0"/>
        <v>1</v>
      </c>
      <c r="G234" s="561">
        <v>5000</v>
      </c>
      <c r="H234" s="561">
        <v>0</v>
      </c>
      <c r="I234" s="563">
        <f t="shared" si="1"/>
        <v>0</v>
      </c>
      <c r="J234" s="564" t="s">
        <v>865</v>
      </c>
    </row>
    <row r="235" spans="1:10" ht="45">
      <c r="A235" s="593" t="s">
        <v>472</v>
      </c>
      <c r="B235" s="594" t="s">
        <v>473</v>
      </c>
      <c r="C235" s="557">
        <v>0.0879</v>
      </c>
      <c r="D235" s="579">
        <v>8000</v>
      </c>
      <c r="E235" s="617">
        <f t="shared" si="36"/>
        <v>8000</v>
      </c>
      <c r="F235" s="560">
        <f t="shared" si="0"/>
        <v>1</v>
      </c>
      <c r="G235" s="561">
        <v>8000</v>
      </c>
      <c r="H235" s="561">
        <v>0</v>
      </c>
      <c r="I235" s="563">
        <f t="shared" si="1"/>
        <v>0</v>
      </c>
      <c r="J235" s="564" t="s">
        <v>865</v>
      </c>
    </row>
    <row r="236" spans="1:10" ht="15.75">
      <c r="A236" s="593" t="s">
        <v>474</v>
      </c>
      <c r="B236" s="594" t="s">
        <v>475</v>
      </c>
      <c r="C236" s="557">
        <v>0.0989</v>
      </c>
      <c r="D236" s="579">
        <v>9000</v>
      </c>
      <c r="E236" s="617">
        <f t="shared" si="36"/>
        <v>9000</v>
      </c>
      <c r="F236" s="560">
        <f t="shared" si="0"/>
        <v>1</v>
      </c>
      <c r="G236" s="561">
        <v>9000</v>
      </c>
      <c r="H236" s="561">
        <v>0</v>
      </c>
      <c r="I236" s="563">
        <f t="shared" si="1"/>
        <v>0</v>
      </c>
      <c r="J236" s="564" t="s">
        <v>865</v>
      </c>
    </row>
    <row r="237" spans="1:10" ht="15.75">
      <c r="A237" s="593" t="s">
        <v>476</v>
      </c>
      <c r="B237" s="594" t="s">
        <v>477</v>
      </c>
      <c r="C237" s="557">
        <v>0.3297</v>
      </c>
      <c r="D237" s="579">
        <v>30000</v>
      </c>
      <c r="E237" s="617">
        <f t="shared" si="36"/>
        <v>30000</v>
      </c>
      <c r="F237" s="560">
        <f t="shared" si="0"/>
        <v>1</v>
      </c>
      <c r="G237" s="561">
        <v>30000</v>
      </c>
      <c r="H237" s="561">
        <v>0</v>
      </c>
      <c r="I237" s="563">
        <f t="shared" si="1"/>
        <v>0</v>
      </c>
      <c r="J237" s="564" t="s">
        <v>865</v>
      </c>
    </row>
    <row r="238" spans="1:10" ht="30">
      <c r="A238" s="593" t="s">
        <v>478</v>
      </c>
      <c r="B238" s="594" t="s">
        <v>479</v>
      </c>
      <c r="C238" s="557">
        <v>0.1209</v>
      </c>
      <c r="D238" s="579">
        <v>11000</v>
      </c>
      <c r="E238" s="617">
        <f t="shared" si="36"/>
        <v>11000</v>
      </c>
      <c r="F238" s="560">
        <f t="shared" si="0"/>
        <v>1</v>
      </c>
      <c r="G238" s="561">
        <v>11000</v>
      </c>
      <c r="H238" s="561">
        <v>0</v>
      </c>
      <c r="I238" s="563">
        <f t="shared" si="1"/>
        <v>0</v>
      </c>
      <c r="J238" s="564" t="s">
        <v>865</v>
      </c>
    </row>
    <row r="239" spans="1:10" ht="15.75">
      <c r="A239" s="593" t="s">
        <v>480</v>
      </c>
      <c r="B239" s="594" t="s">
        <v>481</v>
      </c>
      <c r="C239" s="557">
        <v>0.0769</v>
      </c>
      <c r="D239" s="579">
        <v>7000</v>
      </c>
      <c r="E239" s="617">
        <f t="shared" si="36"/>
        <v>7000</v>
      </c>
      <c r="F239" s="560">
        <f t="shared" si="0"/>
        <v>1</v>
      </c>
      <c r="G239" s="561">
        <v>7000</v>
      </c>
      <c r="H239" s="561">
        <v>0</v>
      </c>
      <c r="I239" s="563">
        <f t="shared" si="1"/>
        <v>0</v>
      </c>
      <c r="J239" s="564" t="s">
        <v>865</v>
      </c>
    </row>
    <row r="240" spans="1:10" ht="63">
      <c r="A240" s="568">
        <v>6</v>
      </c>
      <c r="B240" s="641" t="s">
        <v>482</v>
      </c>
      <c r="C240" s="642">
        <v>0.04</v>
      </c>
      <c r="D240" s="643">
        <v>166844</v>
      </c>
      <c r="E240" s="614">
        <f>SUM(E241:E243,E246:E251)</f>
        <v>166844</v>
      </c>
      <c r="F240" s="639">
        <f t="shared" si="0"/>
        <v>1</v>
      </c>
      <c r="G240" s="540">
        <f>SUM(G241:G243,G246:G251)</f>
        <v>166844</v>
      </c>
      <c r="H240" s="540">
        <f>SUM(H241:H243,H246:H251)</f>
        <v>0</v>
      </c>
      <c r="I240" s="640">
        <f t="shared" si="1"/>
        <v>0</v>
      </c>
      <c r="J240" s="542" t="s">
        <v>865</v>
      </c>
    </row>
    <row r="241" spans="1:10" ht="15.75">
      <c r="A241" s="551" t="s">
        <v>483</v>
      </c>
      <c r="B241" s="552" t="s">
        <v>407</v>
      </c>
      <c r="C241" s="546">
        <v>0.05</v>
      </c>
      <c r="D241" s="637">
        <v>8000</v>
      </c>
      <c r="E241" s="615">
        <f aca="true" t="shared" si="37" ref="E241:E242">G241+H241</f>
        <v>8000</v>
      </c>
      <c r="F241" s="530">
        <f t="shared" si="0"/>
        <v>1</v>
      </c>
      <c r="G241" s="531">
        <v>8000</v>
      </c>
      <c r="H241" s="531">
        <v>0</v>
      </c>
      <c r="I241" s="550">
        <f t="shared" si="1"/>
        <v>0</v>
      </c>
      <c r="J241" s="533" t="s">
        <v>865</v>
      </c>
    </row>
    <row r="242" spans="1:10" ht="26.25" customHeight="1">
      <c r="A242" s="551" t="s">
        <v>484</v>
      </c>
      <c r="B242" s="552" t="s">
        <v>438</v>
      </c>
      <c r="C242" s="546">
        <v>0.07</v>
      </c>
      <c r="D242" s="637">
        <v>12000</v>
      </c>
      <c r="E242" s="615">
        <f t="shared" si="37"/>
        <v>12000</v>
      </c>
      <c r="F242" s="530">
        <f t="shared" si="0"/>
        <v>1</v>
      </c>
      <c r="G242" s="531">
        <v>12000</v>
      </c>
      <c r="H242" s="531">
        <v>0</v>
      </c>
      <c r="I242" s="550">
        <f t="shared" si="1"/>
        <v>0</v>
      </c>
      <c r="J242" s="533" t="s">
        <v>865</v>
      </c>
    </row>
    <row r="243" spans="1:10" ht="15.75">
      <c r="A243" s="551" t="s">
        <v>485</v>
      </c>
      <c r="B243" s="552" t="s">
        <v>486</v>
      </c>
      <c r="C243" s="546">
        <v>0.09</v>
      </c>
      <c r="D243" s="637">
        <f>+D244+D245</f>
        <v>14500</v>
      </c>
      <c r="E243" s="615">
        <f>SUM(E244:E245)</f>
        <v>14500</v>
      </c>
      <c r="F243" s="530">
        <f t="shared" si="0"/>
        <v>1</v>
      </c>
      <c r="G243" s="531">
        <f>SUM(G244:G245)</f>
        <v>14500</v>
      </c>
      <c r="H243" s="531">
        <f>SUM(H244:H245)</f>
        <v>0</v>
      </c>
      <c r="I243" s="550">
        <f t="shared" si="1"/>
        <v>0</v>
      </c>
      <c r="J243" s="533" t="s">
        <v>865</v>
      </c>
    </row>
    <row r="244" spans="1:10" ht="15.75">
      <c r="A244" s="593" t="s">
        <v>487</v>
      </c>
      <c r="B244" s="594" t="s">
        <v>133</v>
      </c>
      <c r="C244" s="557">
        <v>0.21</v>
      </c>
      <c r="D244" s="579">
        <v>3000</v>
      </c>
      <c r="E244" s="617">
        <f aca="true" t="shared" si="38" ref="E244:E250">G244+H244</f>
        <v>3000</v>
      </c>
      <c r="F244" s="560">
        <f t="shared" si="0"/>
        <v>1</v>
      </c>
      <c r="G244" s="561">
        <v>3000</v>
      </c>
      <c r="H244" s="561">
        <v>0</v>
      </c>
      <c r="I244" s="563">
        <f t="shared" si="1"/>
        <v>0</v>
      </c>
      <c r="J244" s="564" t="s">
        <v>865</v>
      </c>
    </row>
    <row r="245" spans="1:10" ht="30">
      <c r="A245" s="593" t="s">
        <v>488</v>
      </c>
      <c r="B245" s="594" t="s">
        <v>445</v>
      </c>
      <c r="C245" s="557">
        <v>0.79</v>
      </c>
      <c r="D245" s="579">
        <v>11500</v>
      </c>
      <c r="E245" s="617">
        <f t="shared" si="38"/>
        <v>11500</v>
      </c>
      <c r="F245" s="560">
        <f t="shared" si="0"/>
        <v>1</v>
      </c>
      <c r="G245" s="561">
        <v>11500</v>
      </c>
      <c r="H245" s="561">
        <v>0</v>
      </c>
      <c r="I245" s="563">
        <f t="shared" si="1"/>
        <v>0</v>
      </c>
      <c r="J245" s="564" t="s">
        <v>865</v>
      </c>
    </row>
    <row r="246" spans="1:10" ht="15.75">
      <c r="A246" s="551" t="s">
        <v>490</v>
      </c>
      <c r="B246" s="552" t="s">
        <v>449</v>
      </c>
      <c r="C246" s="546">
        <v>0.24</v>
      </c>
      <c r="D246" s="637">
        <v>39965</v>
      </c>
      <c r="E246" s="615">
        <f t="shared" si="38"/>
        <v>39965</v>
      </c>
      <c r="F246" s="530">
        <f t="shared" si="0"/>
        <v>1</v>
      </c>
      <c r="G246" s="531">
        <v>39965</v>
      </c>
      <c r="H246" s="531">
        <v>0</v>
      </c>
      <c r="I246" s="550">
        <f t="shared" si="1"/>
        <v>0</v>
      </c>
      <c r="J246" s="533" t="s">
        <v>865</v>
      </c>
    </row>
    <row r="247" spans="1:10" ht="30">
      <c r="A247" s="551" t="s">
        <v>491</v>
      </c>
      <c r="B247" s="552" t="s">
        <v>489</v>
      </c>
      <c r="C247" s="546">
        <v>0.06</v>
      </c>
      <c r="D247" s="637">
        <v>10000</v>
      </c>
      <c r="E247" s="615">
        <f t="shared" si="38"/>
        <v>10000</v>
      </c>
      <c r="F247" s="530">
        <f t="shared" si="0"/>
        <v>1</v>
      </c>
      <c r="G247" s="531">
        <v>10000</v>
      </c>
      <c r="H247" s="531">
        <v>0</v>
      </c>
      <c r="I247" s="550">
        <f t="shared" si="1"/>
        <v>0</v>
      </c>
      <c r="J247" s="533" t="s">
        <v>877</v>
      </c>
    </row>
    <row r="248" spans="1:10" ht="15.75">
      <c r="A248" s="551" t="s">
        <v>493</v>
      </c>
      <c r="B248" s="552" t="s">
        <v>455</v>
      </c>
      <c r="C248" s="546">
        <v>0.26</v>
      </c>
      <c r="D248" s="637">
        <v>43379</v>
      </c>
      <c r="E248" s="615">
        <f t="shared" si="38"/>
        <v>43379</v>
      </c>
      <c r="F248" s="530">
        <f t="shared" si="0"/>
        <v>1</v>
      </c>
      <c r="G248" s="531">
        <v>43379</v>
      </c>
      <c r="H248" s="531">
        <v>0</v>
      </c>
      <c r="I248" s="550">
        <f t="shared" si="1"/>
        <v>0</v>
      </c>
      <c r="J248" s="533" t="s">
        <v>878</v>
      </c>
    </row>
    <row r="249" spans="1:10" ht="15.75">
      <c r="A249" s="551" t="s">
        <v>495</v>
      </c>
      <c r="B249" s="552" t="s">
        <v>492</v>
      </c>
      <c r="C249" s="546">
        <v>0.05</v>
      </c>
      <c r="D249" s="637">
        <v>8000</v>
      </c>
      <c r="E249" s="615">
        <f t="shared" si="38"/>
        <v>8000</v>
      </c>
      <c r="F249" s="530">
        <f t="shared" si="0"/>
        <v>1</v>
      </c>
      <c r="G249" s="531">
        <v>8000</v>
      </c>
      <c r="H249" s="531">
        <v>0</v>
      </c>
      <c r="I249" s="550">
        <f t="shared" si="1"/>
        <v>0</v>
      </c>
      <c r="J249" s="533" t="s">
        <v>879</v>
      </c>
    </row>
    <row r="250" spans="1:10" ht="30">
      <c r="A250" s="551" t="s">
        <v>816</v>
      </c>
      <c r="B250" s="552" t="s">
        <v>494</v>
      </c>
      <c r="C250" s="546">
        <v>0.04</v>
      </c>
      <c r="D250" s="637">
        <v>6000</v>
      </c>
      <c r="E250" s="615">
        <f t="shared" si="38"/>
        <v>6000</v>
      </c>
      <c r="F250" s="530">
        <f t="shared" si="0"/>
        <v>1</v>
      </c>
      <c r="G250" s="531">
        <v>6000</v>
      </c>
      <c r="H250" s="531">
        <v>0</v>
      </c>
      <c r="I250" s="550">
        <f t="shared" si="1"/>
        <v>0</v>
      </c>
      <c r="J250" s="533" t="s">
        <v>880</v>
      </c>
    </row>
    <row r="251" spans="1:10" ht="15.75">
      <c r="A251" s="551" t="s">
        <v>817</v>
      </c>
      <c r="B251" s="552" t="s">
        <v>465</v>
      </c>
      <c r="C251" s="546">
        <v>0.15</v>
      </c>
      <c r="D251" s="637">
        <f>+D252</f>
        <v>25000</v>
      </c>
      <c r="E251" s="615">
        <f>SUM(E252)</f>
        <v>25000</v>
      </c>
      <c r="F251" s="530">
        <f t="shared" si="0"/>
        <v>1</v>
      </c>
      <c r="G251" s="531">
        <v>25000</v>
      </c>
      <c r="H251" s="531">
        <f>+H252</f>
        <v>0</v>
      </c>
      <c r="I251" s="550">
        <f t="shared" si="1"/>
        <v>0</v>
      </c>
      <c r="J251" s="533" t="s">
        <v>865</v>
      </c>
    </row>
    <row r="252" spans="1:10" ht="15.75">
      <c r="A252" s="593" t="s">
        <v>818</v>
      </c>
      <c r="B252" s="594" t="s">
        <v>477</v>
      </c>
      <c r="C252" s="557">
        <v>1</v>
      </c>
      <c r="D252" s="579">
        <v>25000</v>
      </c>
      <c r="E252" s="617">
        <f>G252+H252</f>
        <v>25000</v>
      </c>
      <c r="F252" s="560">
        <f t="shared" si="0"/>
        <v>1</v>
      </c>
      <c r="G252" s="561">
        <v>25000</v>
      </c>
      <c r="H252" s="561"/>
      <c r="I252" s="563">
        <f t="shared" si="1"/>
        <v>0</v>
      </c>
      <c r="J252" s="564" t="s">
        <v>865</v>
      </c>
    </row>
    <row r="253" spans="1:10" ht="31.5">
      <c r="A253" s="605" t="s">
        <v>819</v>
      </c>
      <c r="B253" s="606" t="s">
        <v>498</v>
      </c>
      <c r="C253" s="607" t="s">
        <v>499</v>
      </c>
      <c r="D253" s="608">
        <f>D1*6.5%</f>
        <v>2557750</v>
      </c>
      <c r="E253" s="609">
        <f>SUM(E254,E264,E294,E299,E302,E306,E309)-0.01</f>
        <v>2557749.99</v>
      </c>
      <c r="F253" s="610">
        <f t="shared" si="0"/>
        <v>0.9999999960903139</v>
      </c>
      <c r="G253" s="611">
        <f>G254+G264+G294+G299+G302+G306+G309-0.01</f>
        <v>2375920.1900000004</v>
      </c>
      <c r="H253" s="611">
        <f>H254+H264+H294+H299+H302+H306+H309</f>
        <v>181829.8</v>
      </c>
      <c r="I253" s="612">
        <f t="shared" si="1"/>
        <v>0.07108974684781545</v>
      </c>
      <c r="J253" s="613" t="s">
        <v>865</v>
      </c>
    </row>
    <row r="254" spans="1:10" ht="15.75">
      <c r="A254" s="534">
        <v>1</v>
      </c>
      <c r="B254" s="535" t="s">
        <v>500</v>
      </c>
      <c r="C254" s="536">
        <v>0.04</v>
      </c>
      <c r="D254" s="537">
        <f>$D$253*C254</f>
        <v>102310</v>
      </c>
      <c r="E254" s="614">
        <f>SUM(E255,E259)</f>
        <v>102310</v>
      </c>
      <c r="F254" s="539">
        <f t="shared" si="0"/>
        <v>1</v>
      </c>
      <c r="G254" s="540">
        <f>SUM(G255,G259)</f>
        <v>100810</v>
      </c>
      <c r="H254" s="540">
        <f>SUM(H255,H259)</f>
        <v>1500</v>
      </c>
      <c r="I254" s="541">
        <f t="shared" si="1"/>
        <v>0.014661323428794839</v>
      </c>
      <c r="J254" s="542" t="s">
        <v>865</v>
      </c>
    </row>
    <row r="255" spans="1:10" ht="15.75">
      <c r="A255" s="551" t="s">
        <v>10</v>
      </c>
      <c r="B255" s="552" t="s">
        <v>501</v>
      </c>
      <c r="C255" s="546">
        <v>0.4</v>
      </c>
      <c r="D255" s="636">
        <v>40924</v>
      </c>
      <c r="E255" s="615">
        <f>SUM(E256:E258)</f>
        <v>40924</v>
      </c>
      <c r="F255" s="530">
        <f t="shared" si="0"/>
        <v>1</v>
      </c>
      <c r="G255" s="531">
        <f>SUM(G256:G258)</f>
        <v>39424</v>
      </c>
      <c r="H255" s="531">
        <f>SUM(H256:H258)</f>
        <v>1500</v>
      </c>
      <c r="I255" s="550">
        <f t="shared" si="1"/>
        <v>0.0366533085719871</v>
      </c>
      <c r="J255" s="533" t="s">
        <v>865</v>
      </c>
    </row>
    <row r="256" spans="1:10" ht="15.75">
      <c r="A256" s="593" t="s">
        <v>12</v>
      </c>
      <c r="B256" s="594" t="s">
        <v>502</v>
      </c>
      <c r="C256" s="557">
        <v>0.2</v>
      </c>
      <c r="D256" s="579">
        <v>20000</v>
      </c>
      <c r="E256" s="617">
        <f aca="true" t="shared" si="39" ref="E256:E258">G256+H256</f>
        <v>20000</v>
      </c>
      <c r="F256" s="560">
        <f t="shared" si="0"/>
        <v>1</v>
      </c>
      <c r="G256" s="561">
        <v>20000</v>
      </c>
      <c r="H256" s="561">
        <v>0</v>
      </c>
      <c r="I256" s="563">
        <f t="shared" si="1"/>
        <v>0</v>
      </c>
      <c r="J256" s="564" t="s">
        <v>865</v>
      </c>
    </row>
    <row r="257" spans="1:10" ht="30">
      <c r="A257" s="593" t="s">
        <v>14</v>
      </c>
      <c r="B257" s="594" t="s">
        <v>503</v>
      </c>
      <c r="C257" s="557">
        <v>0.15</v>
      </c>
      <c r="D257" s="579">
        <v>15000</v>
      </c>
      <c r="E257" s="617">
        <f t="shared" si="39"/>
        <v>15000</v>
      </c>
      <c r="F257" s="560">
        <f t="shared" si="0"/>
        <v>1</v>
      </c>
      <c r="G257" s="561">
        <v>13500</v>
      </c>
      <c r="H257" s="561">
        <v>1500</v>
      </c>
      <c r="I257" s="563">
        <f t="shared" si="1"/>
        <v>0.1</v>
      </c>
      <c r="J257" s="564" t="s">
        <v>865</v>
      </c>
    </row>
    <row r="258" spans="1:10" ht="30">
      <c r="A258" s="593" t="s">
        <v>16</v>
      </c>
      <c r="B258" s="594" t="s">
        <v>504</v>
      </c>
      <c r="C258" s="557">
        <v>0.06</v>
      </c>
      <c r="D258" s="579">
        <v>5924</v>
      </c>
      <c r="E258" s="617">
        <f t="shared" si="39"/>
        <v>5924</v>
      </c>
      <c r="F258" s="560">
        <f t="shared" si="0"/>
        <v>1</v>
      </c>
      <c r="G258" s="561">
        <v>5924</v>
      </c>
      <c r="H258" s="561">
        <v>0</v>
      </c>
      <c r="I258" s="563">
        <f t="shared" si="1"/>
        <v>0</v>
      </c>
      <c r="J258" s="564" t="s">
        <v>865</v>
      </c>
    </row>
    <row r="259" spans="1:10" ht="30">
      <c r="A259" s="551" t="s">
        <v>20</v>
      </c>
      <c r="B259" s="552" t="s">
        <v>505</v>
      </c>
      <c r="C259" s="546">
        <v>0.6</v>
      </c>
      <c r="D259" s="637">
        <v>61386</v>
      </c>
      <c r="E259" s="615">
        <f>SUM(E260:E263)</f>
        <v>61386</v>
      </c>
      <c r="F259" s="530">
        <f t="shared" si="0"/>
        <v>1</v>
      </c>
      <c r="G259" s="531">
        <f>SUM(G260:G263)</f>
        <v>61386</v>
      </c>
      <c r="H259" s="531">
        <f>SUM(H260:H263)</f>
        <v>0</v>
      </c>
      <c r="I259" s="550">
        <f t="shared" si="1"/>
        <v>0</v>
      </c>
      <c r="J259" s="533" t="s">
        <v>865</v>
      </c>
    </row>
    <row r="260" spans="1:10" ht="30">
      <c r="A260" s="593" t="s">
        <v>22</v>
      </c>
      <c r="B260" s="594" t="s">
        <v>506</v>
      </c>
      <c r="C260" s="557">
        <v>0.7</v>
      </c>
      <c r="D260" s="579">
        <v>43000</v>
      </c>
      <c r="E260" s="617">
        <f aca="true" t="shared" si="40" ref="E260:E264">G260+H260</f>
        <v>43000</v>
      </c>
      <c r="F260" s="560">
        <f t="shared" si="0"/>
        <v>1</v>
      </c>
      <c r="G260" s="561">
        <v>43000</v>
      </c>
      <c r="H260" s="561">
        <v>0</v>
      </c>
      <c r="I260" s="563">
        <f t="shared" si="1"/>
        <v>0</v>
      </c>
      <c r="J260" s="564" t="s">
        <v>865</v>
      </c>
    </row>
    <row r="261" spans="1:10" ht="15.75">
      <c r="A261" s="593" t="s">
        <v>24</v>
      </c>
      <c r="B261" s="594" t="s">
        <v>507</v>
      </c>
      <c r="C261" s="557">
        <v>0.1</v>
      </c>
      <c r="D261" s="579">
        <v>6000</v>
      </c>
      <c r="E261" s="617">
        <f t="shared" si="40"/>
        <v>6000</v>
      </c>
      <c r="F261" s="560">
        <f t="shared" si="0"/>
        <v>1</v>
      </c>
      <c r="G261" s="561">
        <v>6000</v>
      </c>
      <c r="H261" s="561">
        <v>0</v>
      </c>
      <c r="I261" s="563">
        <f t="shared" si="1"/>
        <v>0</v>
      </c>
      <c r="J261" s="564" t="s">
        <v>865</v>
      </c>
    </row>
    <row r="262" spans="1:10" ht="15.75">
      <c r="A262" s="593" t="s">
        <v>26</v>
      </c>
      <c r="B262" s="594" t="s">
        <v>508</v>
      </c>
      <c r="C262" s="557">
        <v>0.11</v>
      </c>
      <c r="D262" s="579">
        <v>7000</v>
      </c>
      <c r="E262" s="617">
        <f t="shared" si="40"/>
        <v>7000</v>
      </c>
      <c r="F262" s="560">
        <f t="shared" si="0"/>
        <v>1</v>
      </c>
      <c r="G262" s="561">
        <v>7000</v>
      </c>
      <c r="H262" s="561">
        <v>0</v>
      </c>
      <c r="I262" s="563">
        <f t="shared" si="1"/>
        <v>0</v>
      </c>
      <c r="J262" s="564" t="s">
        <v>865</v>
      </c>
    </row>
    <row r="263" spans="1:10" ht="15.75">
      <c r="A263" s="593" t="s">
        <v>28</v>
      </c>
      <c r="B263" s="594" t="s">
        <v>509</v>
      </c>
      <c r="C263" s="557">
        <v>0.09</v>
      </c>
      <c r="D263" s="579">
        <v>5386</v>
      </c>
      <c r="E263" s="617">
        <f t="shared" si="40"/>
        <v>5386</v>
      </c>
      <c r="F263" s="560">
        <f t="shared" si="0"/>
        <v>1</v>
      </c>
      <c r="G263" s="561">
        <v>5386</v>
      </c>
      <c r="H263" s="561">
        <v>0</v>
      </c>
      <c r="I263" s="563">
        <f t="shared" si="1"/>
        <v>0</v>
      </c>
      <c r="J263" s="564" t="s">
        <v>865</v>
      </c>
    </row>
    <row r="264" spans="1:10" ht="30">
      <c r="A264" s="534">
        <v>2</v>
      </c>
      <c r="B264" s="535" t="s">
        <v>510</v>
      </c>
      <c r="C264" s="536">
        <v>0.25</v>
      </c>
      <c r="D264" s="537">
        <f>$D$253*C264</f>
        <v>639437.5</v>
      </c>
      <c r="E264" s="614">
        <f t="shared" si="40"/>
        <v>639437.5</v>
      </c>
      <c r="F264" s="539">
        <f t="shared" si="0"/>
        <v>1</v>
      </c>
      <c r="G264" s="540">
        <f>+G265+G272+G287-0.01</f>
        <v>639437.5</v>
      </c>
      <c r="H264" s="540">
        <f>SUM(H265,H272,H287)</f>
        <v>0</v>
      </c>
      <c r="I264" s="541">
        <f t="shared" si="1"/>
        <v>0</v>
      </c>
      <c r="J264" s="542" t="s">
        <v>865</v>
      </c>
    </row>
    <row r="265" spans="1:10" ht="15.75">
      <c r="A265" s="551" t="s">
        <v>62</v>
      </c>
      <c r="B265" s="552" t="s">
        <v>881</v>
      </c>
      <c r="C265" s="553">
        <v>0.42</v>
      </c>
      <c r="D265" s="554">
        <f>$D$264*C265</f>
        <v>268563.75</v>
      </c>
      <c r="E265" s="615">
        <f>SUM(E266:E271)</f>
        <v>268563.75</v>
      </c>
      <c r="F265" s="530">
        <f t="shared" si="0"/>
        <v>1</v>
      </c>
      <c r="G265" s="531">
        <f>SUM(G266:G271)</f>
        <v>268563.75</v>
      </c>
      <c r="H265" s="531">
        <f>SUM(H266:H271)</f>
        <v>0</v>
      </c>
      <c r="I265" s="550">
        <f t="shared" si="1"/>
        <v>0</v>
      </c>
      <c r="J265" s="533" t="s">
        <v>865</v>
      </c>
    </row>
    <row r="266" spans="1:10" ht="15.75">
      <c r="A266" s="593" t="s">
        <v>408</v>
      </c>
      <c r="B266" s="594" t="s">
        <v>407</v>
      </c>
      <c r="C266" s="557">
        <v>0.013</v>
      </c>
      <c r="D266" s="579">
        <v>3500</v>
      </c>
      <c r="E266" s="617">
        <f aca="true" t="shared" si="41" ref="E266:E271">G266+H266</f>
        <v>3500</v>
      </c>
      <c r="F266" s="560">
        <f t="shared" si="0"/>
        <v>1</v>
      </c>
      <c r="G266" s="561">
        <v>3500</v>
      </c>
      <c r="H266" s="561">
        <v>0</v>
      </c>
      <c r="I266" s="563">
        <f t="shared" si="1"/>
        <v>0</v>
      </c>
      <c r="J266" s="564" t="s">
        <v>865</v>
      </c>
    </row>
    <row r="267" spans="1:10" ht="30">
      <c r="A267" s="593" t="s">
        <v>410</v>
      </c>
      <c r="B267" s="594" t="s">
        <v>512</v>
      </c>
      <c r="C267" s="557">
        <v>0.027</v>
      </c>
      <c r="D267" s="579">
        <v>7260.62</v>
      </c>
      <c r="E267" s="617">
        <f t="shared" si="41"/>
        <v>7260.62</v>
      </c>
      <c r="F267" s="560">
        <f t="shared" si="0"/>
        <v>1</v>
      </c>
      <c r="G267" s="561">
        <v>7260.62</v>
      </c>
      <c r="H267" s="561">
        <v>0</v>
      </c>
      <c r="I267" s="563">
        <f t="shared" si="1"/>
        <v>0</v>
      </c>
      <c r="J267" s="564" t="s">
        <v>865</v>
      </c>
    </row>
    <row r="268" spans="1:10" ht="15.75">
      <c r="A268" s="593" t="s">
        <v>513</v>
      </c>
      <c r="B268" s="594" t="s">
        <v>514</v>
      </c>
      <c r="C268" s="557">
        <v>0.2122</v>
      </c>
      <c r="D268" s="579">
        <v>57000</v>
      </c>
      <c r="E268" s="617">
        <f t="shared" si="41"/>
        <v>57000</v>
      </c>
      <c r="F268" s="560">
        <f t="shared" si="0"/>
        <v>1</v>
      </c>
      <c r="G268" s="561">
        <v>57000</v>
      </c>
      <c r="H268" s="561">
        <v>0</v>
      </c>
      <c r="I268" s="563">
        <f t="shared" si="1"/>
        <v>0</v>
      </c>
      <c r="J268" s="564" t="s">
        <v>865</v>
      </c>
    </row>
    <row r="269" spans="1:10" ht="15.75">
      <c r="A269" s="593" t="s">
        <v>515</v>
      </c>
      <c r="B269" s="594" t="s">
        <v>516</v>
      </c>
      <c r="C269" s="557">
        <v>0.5027</v>
      </c>
      <c r="D269" s="579">
        <f>105000+30000</f>
        <v>135000</v>
      </c>
      <c r="E269" s="617">
        <f t="shared" si="41"/>
        <v>135000</v>
      </c>
      <c r="F269" s="560">
        <f t="shared" si="0"/>
        <v>1</v>
      </c>
      <c r="G269" s="561">
        <v>135000</v>
      </c>
      <c r="H269" s="561">
        <v>0</v>
      </c>
      <c r="I269" s="563">
        <f t="shared" si="1"/>
        <v>0</v>
      </c>
      <c r="J269" s="564" t="s">
        <v>865</v>
      </c>
    </row>
    <row r="270" spans="1:10" ht="15.75">
      <c r="A270" s="593" t="s">
        <v>517</v>
      </c>
      <c r="B270" s="594" t="s">
        <v>288</v>
      </c>
      <c r="C270" s="557">
        <v>0.1936</v>
      </c>
      <c r="D270" s="579">
        <v>52000</v>
      </c>
      <c r="E270" s="617">
        <f t="shared" si="41"/>
        <v>52000</v>
      </c>
      <c r="F270" s="560">
        <f t="shared" si="0"/>
        <v>1</v>
      </c>
      <c r="G270" s="561">
        <v>52000</v>
      </c>
      <c r="H270" s="561">
        <v>0</v>
      </c>
      <c r="I270" s="563">
        <f t="shared" si="1"/>
        <v>0</v>
      </c>
      <c r="J270" s="564" t="s">
        <v>865</v>
      </c>
    </row>
    <row r="271" spans="1:10" ht="30">
      <c r="A271" s="593" t="s">
        <v>518</v>
      </c>
      <c r="B271" s="594" t="s">
        <v>519</v>
      </c>
      <c r="C271" s="557">
        <v>0.0514</v>
      </c>
      <c r="D271" s="579">
        <v>13803.13</v>
      </c>
      <c r="E271" s="617">
        <f t="shared" si="41"/>
        <v>13803.13</v>
      </c>
      <c r="F271" s="560">
        <f t="shared" si="0"/>
        <v>1</v>
      </c>
      <c r="G271" s="561">
        <v>13803.13</v>
      </c>
      <c r="H271" s="561">
        <v>0</v>
      </c>
      <c r="I271" s="563">
        <f t="shared" si="1"/>
        <v>0</v>
      </c>
      <c r="J271" s="564" t="s">
        <v>865</v>
      </c>
    </row>
    <row r="272" spans="1:10" ht="15.75">
      <c r="A272" s="551" t="s">
        <v>64</v>
      </c>
      <c r="B272" s="552" t="s">
        <v>520</v>
      </c>
      <c r="C272" s="553">
        <v>0.37</v>
      </c>
      <c r="D272" s="554">
        <f>$D$264*C272</f>
        <v>236591.875</v>
      </c>
      <c r="E272" s="615">
        <f>SUM(E273,E277,E282)-0.01</f>
        <v>236591.88</v>
      </c>
      <c r="F272" s="530">
        <f t="shared" si="0"/>
        <v>1.0000000211334392</v>
      </c>
      <c r="G272" s="531">
        <f>SUM(G273,G277,G282)-0.01</f>
        <v>236591.88</v>
      </c>
      <c r="H272" s="531">
        <f>SUM(H273,H277,H282)</f>
        <v>0</v>
      </c>
      <c r="I272" s="550">
        <f t="shared" si="1"/>
        <v>0</v>
      </c>
      <c r="J272" s="533" t="s">
        <v>865</v>
      </c>
    </row>
    <row r="273" spans="1:10" ht="30">
      <c r="A273" s="593" t="s">
        <v>132</v>
      </c>
      <c r="B273" s="594" t="s">
        <v>521</v>
      </c>
      <c r="C273" s="557">
        <v>0.2</v>
      </c>
      <c r="D273" s="579">
        <f>0.2*D272</f>
        <v>47318.375</v>
      </c>
      <c r="E273" s="617">
        <f>SUM(E274:E276)</f>
        <v>47318.38</v>
      </c>
      <c r="F273" s="560">
        <f t="shared" si="0"/>
        <v>1.0000001056671959</v>
      </c>
      <c r="G273" s="561">
        <f>SUM(G274:G276)</f>
        <v>47318.38</v>
      </c>
      <c r="H273" s="561">
        <f>+H274+H275+H276</f>
        <v>0</v>
      </c>
      <c r="I273" s="563">
        <f t="shared" si="1"/>
        <v>0</v>
      </c>
      <c r="J273" s="564" t="s">
        <v>865</v>
      </c>
    </row>
    <row r="274" spans="1:10" ht="15.75">
      <c r="A274" s="619" t="s">
        <v>522</v>
      </c>
      <c r="B274" s="620" t="s">
        <v>523</v>
      </c>
      <c r="C274" s="584">
        <v>0.76</v>
      </c>
      <c r="D274" s="585">
        <v>36000</v>
      </c>
      <c r="E274" s="622">
        <f aca="true" t="shared" si="42" ref="E274:E276">G274+H274</f>
        <v>36000</v>
      </c>
      <c r="F274" s="623">
        <f t="shared" si="0"/>
        <v>1</v>
      </c>
      <c r="G274" s="588">
        <v>36000</v>
      </c>
      <c r="H274" s="588">
        <v>0</v>
      </c>
      <c r="I274" s="624">
        <f t="shared" si="1"/>
        <v>0</v>
      </c>
      <c r="J274" s="590" t="s">
        <v>865</v>
      </c>
    </row>
    <row r="275" spans="1:10" ht="15.75">
      <c r="A275" s="619" t="s">
        <v>524</v>
      </c>
      <c r="B275" s="620" t="s">
        <v>525</v>
      </c>
      <c r="C275" s="584">
        <v>0.2</v>
      </c>
      <c r="D275" s="585">
        <v>9318.38</v>
      </c>
      <c r="E275" s="622">
        <f t="shared" si="42"/>
        <v>9318.38</v>
      </c>
      <c r="F275" s="623">
        <f t="shared" si="0"/>
        <v>1</v>
      </c>
      <c r="G275" s="588">
        <v>9318.38</v>
      </c>
      <c r="H275" s="588">
        <v>0</v>
      </c>
      <c r="I275" s="624">
        <f t="shared" si="1"/>
        <v>0</v>
      </c>
      <c r="J275" s="590" t="s">
        <v>865</v>
      </c>
    </row>
    <row r="276" spans="1:10" ht="15.75">
      <c r="A276" s="619" t="s">
        <v>526</v>
      </c>
      <c r="B276" s="620" t="s">
        <v>527</v>
      </c>
      <c r="C276" s="584">
        <v>0.04</v>
      </c>
      <c r="D276" s="585">
        <v>2000</v>
      </c>
      <c r="E276" s="622">
        <f t="shared" si="42"/>
        <v>2000</v>
      </c>
      <c r="F276" s="623">
        <f t="shared" si="0"/>
        <v>1</v>
      </c>
      <c r="G276" s="588">
        <v>2000</v>
      </c>
      <c r="H276" s="588">
        <v>0</v>
      </c>
      <c r="I276" s="624">
        <f t="shared" si="1"/>
        <v>0</v>
      </c>
      <c r="J276" s="590" t="s">
        <v>865</v>
      </c>
    </row>
    <row r="277" spans="1:10" ht="45">
      <c r="A277" s="593" t="s">
        <v>134</v>
      </c>
      <c r="B277" s="594" t="s">
        <v>528</v>
      </c>
      <c r="C277" s="557">
        <v>0.2</v>
      </c>
      <c r="D277" s="579">
        <f>0.2*D272</f>
        <v>47318.375</v>
      </c>
      <c r="E277" s="617">
        <f>SUM(E278:E281)</f>
        <v>47318.380000000005</v>
      </c>
      <c r="F277" s="560">
        <f t="shared" si="0"/>
        <v>1.0000001056671959</v>
      </c>
      <c r="G277" s="561">
        <f>SUM(G278:G281)</f>
        <v>47318.380000000005</v>
      </c>
      <c r="H277" s="561">
        <f>SUM(H278:H281)</f>
        <v>0</v>
      </c>
      <c r="I277" s="563">
        <f t="shared" si="1"/>
        <v>0</v>
      </c>
      <c r="J277" s="564" t="s">
        <v>865</v>
      </c>
    </row>
    <row r="278" spans="1:10" ht="15.75">
      <c r="A278" s="619" t="s">
        <v>529</v>
      </c>
      <c r="B278" s="620" t="s">
        <v>523</v>
      </c>
      <c r="C278" s="584">
        <v>0.68</v>
      </c>
      <c r="D278" s="585">
        <v>32000</v>
      </c>
      <c r="E278" s="622">
        <f aca="true" t="shared" si="43" ref="E278:E281">G278+H278</f>
        <v>32000</v>
      </c>
      <c r="F278" s="623">
        <f t="shared" si="0"/>
        <v>1</v>
      </c>
      <c r="G278" s="588">
        <v>32000</v>
      </c>
      <c r="H278" s="588">
        <v>0</v>
      </c>
      <c r="I278" s="624">
        <f t="shared" si="1"/>
        <v>0</v>
      </c>
      <c r="J278" s="590" t="s">
        <v>865</v>
      </c>
    </row>
    <row r="279" spans="1:10" ht="15.75">
      <c r="A279" s="619" t="s">
        <v>530</v>
      </c>
      <c r="B279" s="620" t="s">
        <v>531</v>
      </c>
      <c r="C279" s="584">
        <v>0.15</v>
      </c>
      <c r="D279" s="585">
        <v>7318.38</v>
      </c>
      <c r="E279" s="622">
        <f t="shared" si="43"/>
        <v>7318.38</v>
      </c>
      <c r="F279" s="623">
        <f t="shared" si="0"/>
        <v>1</v>
      </c>
      <c r="G279" s="588">
        <v>7318.38</v>
      </c>
      <c r="H279" s="588">
        <v>0</v>
      </c>
      <c r="I279" s="624">
        <f t="shared" si="1"/>
        <v>0</v>
      </c>
      <c r="J279" s="590" t="s">
        <v>865</v>
      </c>
    </row>
    <row r="280" spans="1:10" ht="15.75">
      <c r="A280" s="619" t="s">
        <v>532</v>
      </c>
      <c r="B280" s="620" t="s">
        <v>533</v>
      </c>
      <c r="C280" s="584">
        <v>0.13</v>
      </c>
      <c r="D280" s="585">
        <v>6000</v>
      </c>
      <c r="E280" s="622">
        <f t="shared" si="43"/>
        <v>6000</v>
      </c>
      <c r="F280" s="623">
        <f t="shared" si="0"/>
        <v>1</v>
      </c>
      <c r="G280" s="588">
        <v>6000</v>
      </c>
      <c r="H280" s="588">
        <v>0</v>
      </c>
      <c r="I280" s="624">
        <f t="shared" si="1"/>
        <v>0</v>
      </c>
      <c r="J280" s="590" t="s">
        <v>865</v>
      </c>
    </row>
    <row r="281" spans="1:10" ht="15.75">
      <c r="A281" s="619" t="s">
        <v>534</v>
      </c>
      <c r="B281" s="620" t="s">
        <v>527</v>
      </c>
      <c r="C281" s="584">
        <v>0.04</v>
      </c>
      <c r="D281" s="585">
        <v>2000</v>
      </c>
      <c r="E281" s="622">
        <f t="shared" si="43"/>
        <v>2000</v>
      </c>
      <c r="F281" s="623">
        <f t="shared" si="0"/>
        <v>1</v>
      </c>
      <c r="G281" s="588">
        <v>2000</v>
      </c>
      <c r="H281" s="588">
        <v>0</v>
      </c>
      <c r="I281" s="624">
        <f t="shared" si="1"/>
        <v>0</v>
      </c>
      <c r="J281" s="590" t="s">
        <v>865</v>
      </c>
    </row>
    <row r="282" spans="1:10" ht="45">
      <c r="A282" s="593" t="s">
        <v>415</v>
      </c>
      <c r="B282" s="594" t="s">
        <v>535</v>
      </c>
      <c r="C282" s="557">
        <v>0.6</v>
      </c>
      <c r="D282" s="579">
        <f>0.6*D272</f>
        <v>141955.125</v>
      </c>
      <c r="E282" s="617">
        <f>SUM(E283:E286)</f>
        <v>141955.13</v>
      </c>
      <c r="F282" s="560">
        <f t="shared" si="0"/>
        <v>1.0000000352223986</v>
      </c>
      <c r="G282" s="561">
        <f>SUM(G283:G286)</f>
        <v>141955.13</v>
      </c>
      <c r="H282" s="561">
        <f>SUM(H283:H286)</f>
        <v>0</v>
      </c>
      <c r="I282" s="563">
        <f t="shared" si="1"/>
        <v>0</v>
      </c>
      <c r="J282" s="564" t="s">
        <v>865</v>
      </c>
    </row>
    <row r="283" spans="1:12" ht="15.75">
      <c r="A283" s="619" t="s">
        <v>536</v>
      </c>
      <c r="B283" s="620" t="s">
        <v>523</v>
      </c>
      <c r="C283" s="584">
        <v>0.6548</v>
      </c>
      <c r="D283" s="585">
        <v>92955.13</v>
      </c>
      <c r="E283" s="622">
        <f aca="true" t="shared" si="44" ref="E283:E293">G283+H283</f>
        <v>92955.13</v>
      </c>
      <c r="F283" s="623">
        <f t="shared" si="0"/>
        <v>1</v>
      </c>
      <c r="G283" s="588">
        <v>92955.13</v>
      </c>
      <c r="H283" s="588">
        <v>0</v>
      </c>
      <c r="I283" s="624">
        <f t="shared" si="1"/>
        <v>0</v>
      </c>
      <c r="J283" s="590" t="s">
        <v>865</v>
      </c>
      <c r="L283" s="638">
        <f>+D283+D284+D285+D286</f>
        <v>141955.13</v>
      </c>
    </row>
    <row r="284" spans="1:10" ht="15.75">
      <c r="A284" s="619" t="s">
        <v>537</v>
      </c>
      <c r="B284" s="620" t="s">
        <v>531</v>
      </c>
      <c r="C284" s="584">
        <v>0.2466</v>
      </c>
      <c r="D284" s="585">
        <v>35000</v>
      </c>
      <c r="E284" s="622">
        <f t="shared" si="44"/>
        <v>35000</v>
      </c>
      <c r="F284" s="623">
        <f t="shared" si="0"/>
        <v>1</v>
      </c>
      <c r="G284" s="588">
        <v>35000</v>
      </c>
      <c r="H284" s="588">
        <v>0</v>
      </c>
      <c r="I284" s="624">
        <f t="shared" si="1"/>
        <v>0</v>
      </c>
      <c r="J284" s="590" t="s">
        <v>865</v>
      </c>
    </row>
    <row r="285" spans="1:10" ht="15.75">
      <c r="A285" s="619" t="s">
        <v>538</v>
      </c>
      <c r="B285" s="620" t="s">
        <v>539</v>
      </c>
      <c r="C285" s="584">
        <v>0.0564</v>
      </c>
      <c r="D285" s="585">
        <v>8000</v>
      </c>
      <c r="E285" s="622">
        <f t="shared" si="44"/>
        <v>8000</v>
      </c>
      <c r="F285" s="623">
        <f t="shared" si="0"/>
        <v>1</v>
      </c>
      <c r="G285" s="588">
        <v>8000</v>
      </c>
      <c r="H285" s="588">
        <v>0</v>
      </c>
      <c r="I285" s="624">
        <f t="shared" si="1"/>
        <v>0</v>
      </c>
      <c r="J285" s="590" t="s">
        <v>865</v>
      </c>
    </row>
    <row r="286" spans="1:10" ht="15.75">
      <c r="A286" s="619" t="s">
        <v>540</v>
      </c>
      <c r="B286" s="620" t="s">
        <v>527</v>
      </c>
      <c r="C286" s="584">
        <v>0.0423</v>
      </c>
      <c r="D286" s="585">
        <v>6000</v>
      </c>
      <c r="E286" s="622">
        <f t="shared" si="44"/>
        <v>6000</v>
      </c>
      <c r="F286" s="623">
        <f t="shared" si="0"/>
        <v>1</v>
      </c>
      <c r="G286" s="588">
        <v>6000</v>
      </c>
      <c r="H286" s="588">
        <v>0</v>
      </c>
      <c r="I286" s="624">
        <f t="shared" si="1"/>
        <v>0</v>
      </c>
      <c r="J286" s="590" t="s">
        <v>865</v>
      </c>
    </row>
    <row r="287" spans="1:10" ht="15.75">
      <c r="A287" s="551" t="s">
        <v>66</v>
      </c>
      <c r="B287" s="552" t="s">
        <v>882</v>
      </c>
      <c r="C287" s="553">
        <v>0.21</v>
      </c>
      <c r="D287" s="554">
        <f>$D$264*C287</f>
        <v>134281.875</v>
      </c>
      <c r="E287" s="615">
        <f t="shared" si="44"/>
        <v>134281.88</v>
      </c>
      <c r="F287" s="530">
        <f t="shared" si="0"/>
        <v>1.0000000372351072</v>
      </c>
      <c r="G287" s="531">
        <f>+G288+G289+G290+G291+G292+G293</f>
        <v>134281.88</v>
      </c>
      <c r="H287" s="531">
        <f>+H288+H289+H290+H291+H292+H293</f>
        <v>0</v>
      </c>
      <c r="I287" s="550">
        <f t="shared" si="1"/>
        <v>0</v>
      </c>
      <c r="J287" s="533" t="s">
        <v>865</v>
      </c>
    </row>
    <row r="288" spans="1:10" ht="30">
      <c r="A288" s="593" t="s">
        <v>137</v>
      </c>
      <c r="B288" s="594" t="s">
        <v>542</v>
      </c>
      <c r="C288" s="557">
        <v>0.052</v>
      </c>
      <c r="D288" s="579">
        <v>6985.94</v>
      </c>
      <c r="E288" s="617">
        <f t="shared" si="44"/>
        <v>6985.94</v>
      </c>
      <c r="F288" s="560">
        <f t="shared" si="0"/>
        <v>1</v>
      </c>
      <c r="G288" s="561">
        <v>6985.94</v>
      </c>
      <c r="H288" s="561">
        <v>0</v>
      </c>
      <c r="I288" s="563">
        <f t="shared" si="1"/>
        <v>0</v>
      </c>
      <c r="J288" s="564" t="s">
        <v>865</v>
      </c>
    </row>
    <row r="289" spans="1:10" ht="15.75">
      <c r="A289" s="593" t="s">
        <v>139</v>
      </c>
      <c r="B289" s="594" t="s">
        <v>543</v>
      </c>
      <c r="C289" s="557">
        <v>0.4294</v>
      </c>
      <c r="D289" s="579">
        <v>57655</v>
      </c>
      <c r="E289" s="617">
        <f t="shared" si="44"/>
        <v>57655</v>
      </c>
      <c r="F289" s="560">
        <f t="shared" si="0"/>
        <v>1</v>
      </c>
      <c r="G289" s="561">
        <v>57655</v>
      </c>
      <c r="H289" s="561">
        <v>0</v>
      </c>
      <c r="I289" s="563">
        <f t="shared" si="1"/>
        <v>0</v>
      </c>
      <c r="J289" s="564" t="s">
        <v>865</v>
      </c>
    </row>
    <row r="290" spans="1:10" ht="15.75">
      <c r="A290" s="593" t="s">
        <v>422</v>
      </c>
      <c r="B290" s="594" t="s">
        <v>544</v>
      </c>
      <c r="C290" s="557">
        <v>0.0186</v>
      </c>
      <c r="D290" s="579">
        <v>2500</v>
      </c>
      <c r="E290" s="617">
        <f t="shared" si="44"/>
        <v>2500</v>
      </c>
      <c r="F290" s="560">
        <f t="shared" si="0"/>
        <v>1</v>
      </c>
      <c r="G290" s="561">
        <v>2500</v>
      </c>
      <c r="H290" s="561">
        <v>0</v>
      </c>
      <c r="I290" s="563">
        <f t="shared" si="1"/>
        <v>0</v>
      </c>
      <c r="J290" s="564" t="s">
        <v>865</v>
      </c>
    </row>
    <row r="291" spans="1:10" ht="30">
      <c r="A291" s="593" t="s">
        <v>545</v>
      </c>
      <c r="B291" s="594" t="s">
        <v>546</v>
      </c>
      <c r="C291" s="557">
        <v>0.052</v>
      </c>
      <c r="D291" s="579">
        <v>6985.94</v>
      </c>
      <c r="E291" s="617">
        <f t="shared" si="44"/>
        <v>6985.94</v>
      </c>
      <c r="F291" s="560">
        <f t="shared" si="0"/>
        <v>1</v>
      </c>
      <c r="G291" s="561">
        <v>6985.94</v>
      </c>
      <c r="H291" s="561">
        <v>0</v>
      </c>
      <c r="I291" s="563">
        <f t="shared" si="1"/>
        <v>0</v>
      </c>
      <c r="J291" s="564" t="s">
        <v>865</v>
      </c>
    </row>
    <row r="292" spans="1:10" ht="15.75">
      <c r="A292" s="593" t="s">
        <v>547</v>
      </c>
      <c r="B292" s="594" t="s">
        <v>548</v>
      </c>
      <c r="C292" s="557">
        <v>0.4294</v>
      </c>
      <c r="D292" s="579">
        <v>57655</v>
      </c>
      <c r="E292" s="617">
        <f t="shared" si="44"/>
        <v>57655</v>
      </c>
      <c r="F292" s="560">
        <f t="shared" si="0"/>
        <v>1</v>
      </c>
      <c r="G292" s="561">
        <v>57655</v>
      </c>
      <c r="H292" s="561">
        <v>0</v>
      </c>
      <c r="I292" s="563">
        <f t="shared" si="1"/>
        <v>0</v>
      </c>
      <c r="J292" s="564" t="s">
        <v>865</v>
      </c>
    </row>
    <row r="293" spans="1:10" ht="15.75">
      <c r="A293" s="593" t="s">
        <v>549</v>
      </c>
      <c r="B293" s="594" t="s">
        <v>550</v>
      </c>
      <c r="C293" s="557">
        <v>0.0186</v>
      </c>
      <c r="D293" s="579">
        <v>2500</v>
      </c>
      <c r="E293" s="617">
        <f t="shared" si="44"/>
        <v>2500</v>
      </c>
      <c r="F293" s="560">
        <f t="shared" si="0"/>
        <v>1</v>
      </c>
      <c r="G293" s="561">
        <v>2500</v>
      </c>
      <c r="H293" s="561">
        <v>0</v>
      </c>
      <c r="I293" s="563">
        <f t="shared" si="1"/>
        <v>0</v>
      </c>
      <c r="J293" s="564" t="s">
        <v>865</v>
      </c>
    </row>
    <row r="294" spans="1:10" ht="30">
      <c r="A294" s="534">
        <v>3</v>
      </c>
      <c r="B294" s="535" t="s">
        <v>551</v>
      </c>
      <c r="C294" s="536">
        <v>0.31</v>
      </c>
      <c r="D294" s="537">
        <f>$D$253*C294</f>
        <v>792902.5</v>
      </c>
      <c r="E294" s="614">
        <f>SUM(E295:E298)-0.01</f>
        <v>792902.5</v>
      </c>
      <c r="F294" s="539">
        <f t="shared" si="0"/>
        <v>1</v>
      </c>
      <c r="G294" s="540">
        <f>SUM(G295:G298)-0.01</f>
        <v>792902.5</v>
      </c>
      <c r="H294" s="540">
        <f>SUM(H295:H298)</f>
        <v>0</v>
      </c>
      <c r="I294" s="541">
        <f t="shared" si="1"/>
        <v>0</v>
      </c>
      <c r="J294" s="542" t="s">
        <v>865</v>
      </c>
    </row>
    <row r="295" spans="1:10" ht="30" customHeight="1">
      <c r="A295" s="551" t="s">
        <v>71</v>
      </c>
      <c r="B295" s="552" t="s">
        <v>883</v>
      </c>
      <c r="C295" s="553">
        <v>0.37</v>
      </c>
      <c r="D295" s="554">
        <f aca="true" t="shared" si="45" ref="D295:D298">$D$294*C295</f>
        <v>293373.925</v>
      </c>
      <c r="E295" s="615">
        <f aca="true" t="shared" si="46" ref="E295:E298">G295+H295</f>
        <v>293373.93</v>
      </c>
      <c r="F295" s="530">
        <f t="shared" si="0"/>
        <v>1.000000017043096</v>
      </c>
      <c r="G295" s="531">
        <v>293373.93</v>
      </c>
      <c r="H295" s="531">
        <v>0</v>
      </c>
      <c r="I295" s="550">
        <f t="shared" si="1"/>
        <v>0</v>
      </c>
      <c r="J295" s="533" t="s">
        <v>865</v>
      </c>
    </row>
    <row r="296" spans="1:10" ht="30">
      <c r="A296" s="551" t="s">
        <v>73</v>
      </c>
      <c r="B296" s="552" t="s">
        <v>884</v>
      </c>
      <c r="C296" s="553">
        <v>0.18</v>
      </c>
      <c r="D296" s="554">
        <f t="shared" si="45"/>
        <v>142722.44999999998</v>
      </c>
      <c r="E296" s="615">
        <f t="shared" si="46"/>
        <v>142722.45</v>
      </c>
      <c r="F296" s="530">
        <f t="shared" si="0"/>
        <v>1.0000000000000002</v>
      </c>
      <c r="G296" s="531">
        <v>142722.45</v>
      </c>
      <c r="H296" s="531">
        <v>0</v>
      </c>
      <c r="I296" s="550">
        <f t="shared" si="1"/>
        <v>0</v>
      </c>
      <c r="J296" s="533" t="s">
        <v>865</v>
      </c>
    </row>
    <row r="297" spans="1:10" ht="45">
      <c r="A297" s="551" t="s">
        <v>211</v>
      </c>
      <c r="B297" s="552" t="s">
        <v>885</v>
      </c>
      <c r="C297" s="553">
        <v>0.1</v>
      </c>
      <c r="D297" s="554">
        <f t="shared" si="45"/>
        <v>79290.25</v>
      </c>
      <c r="E297" s="615">
        <f t="shared" si="46"/>
        <v>79290.25</v>
      </c>
      <c r="F297" s="530">
        <f t="shared" si="0"/>
        <v>1</v>
      </c>
      <c r="G297" s="531">
        <v>79290.25</v>
      </c>
      <c r="H297" s="531">
        <v>0</v>
      </c>
      <c r="I297" s="550">
        <f t="shared" si="1"/>
        <v>0</v>
      </c>
      <c r="J297" s="533" t="s">
        <v>865</v>
      </c>
    </row>
    <row r="298" spans="1:10" ht="30">
      <c r="A298" s="551" t="s">
        <v>220</v>
      </c>
      <c r="B298" s="552" t="s">
        <v>886</v>
      </c>
      <c r="C298" s="553">
        <v>0.35</v>
      </c>
      <c r="D298" s="554">
        <f t="shared" si="45"/>
        <v>277515.875</v>
      </c>
      <c r="E298" s="615">
        <f t="shared" si="46"/>
        <v>277515.88</v>
      </c>
      <c r="F298" s="530">
        <f t="shared" si="0"/>
        <v>1.0000000180169872</v>
      </c>
      <c r="G298" s="531">
        <v>277515.88</v>
      </c>
      <c r="H298" s="531">
        <v>0</v>
      </c>
      <c r="I298" s="550">
        <f t="shared" si="1"/>
        <v>0</v>
      </c>
      <c r="J298" s="533" t="s">
        <v>865</v>
      </c>
    </row>
    <row r="299" spans="1:10" ht="15.75">
      <c r="A299" s="534">
        <v>4</v>
      </c>
      <c r="B299" s="535" t="s">
        <v>556</v>
      </c>
      <c r="C299" s="536">
        <v>0.02</v>
      </c>
      <c r="D299" s="537">
        <f>$D$253*C299</f>
        <v>51155</v>
      </c>
      <c r="E299" s="614">
        <f>SUM(E300:E301)</f>
        <v>51155</v>
      </c>
      <c r="F299" s="539">
        <f t="shared" si="0"/>
        <v>1</v>
      </c>
      <c r="G299" s="540">
        <f>SUM(G300:G301)</f>
        <v>20320</v>
      </c>
      <c r="H299" s="540">
        <f>SUM(H300:H301)</f>
        <v>30835</v>
      </c>
      <c r="I299" s="541">
        <f t="shared" si="1"/>
        <v>0.6027758772358518</v>
      </c>
      <c r="J299" s="542" t="s">
        <v>865</v>
      </c>
    </row>
    <row r="300" spans="1:10" ht="60">
      <c r="A300" s="551" t="s">
        <v>269</v>
      </c>
      <c r="B300" s="552" t="s">
        <v>557</v>
      </c>
      <c r="C300" s="546">
        <v>0.5035</v>
      </c>
      <c r="D300" s="644">
        <v>25755</v>
      </c>
      <c r="E300" s="615">
        <f aca="true" t="shared" si="47" ref="E300:E301">G300+H300</f>
        <v>25755</v>
      </c>
      <c r="F300" s="530">
        <f t="shared" si="0"/>
        <v>1</v>
      </c>
      <c r="G300" s="531">
        <v>0</v>
      </c>
      <c r="H300" s="531">
        <v>25755</v>
      </c>
      <c r="I300" s="550">
        <f t="shared" si="1"/>
        <v>1</v>
      </c>
      <c r="J300" s="533" t="s">
        <v>865</v>
      </c>
    </row>
    <row r="301" spans="1:10" ht="75">
      <c r="A301" s="551" t="s">
        <v>271</v>
      </c>
      <c r="B301" s="552" t="s">
        <v>558</v>
      </c>
      <c r="C301" s="546">
        <v>0.4965</v>
      </c>
      <c r="D301" s="644">
        <v>25400</v>
      </c>
      <c r="E301" s="615">
        <f t="shared" si="47"/>
        <v>25400</v>
      </c>
      <c r="F301" s="530">
        <f t="shared" si="0"/>
        <v>1</v>
      </c>
      <c r="G301" s="531">
        <v>20320</v>
      </c>
      <c r="H301" s="531">
        <v>5080</v>
      </c>
      <c r="I301" s="550">
        <f t="shared" si="1"/>
        <v>0.2</v>
      </c>
      <c r="J301" s="533" t="s">
        <v>865</v>
      </c>
    </row>
    <row r="302" spans="1:10" ht="30">
      <c r="A302" s="534">
        <v>5</v>
      </c>
      <c r="B302" s="535" t="s">
        <v>559</v>
      </c>
      <c r="C302" s="536">
        <v>0.04</v>
      </c>
      <c r="D302" s="537">
        <f>$D$253*C302</f>
        <v>102310</v>
      </c>
      <c r="E302" s="614">
        <f>SUM(E303:E305)</f>
        <v>102310</v>
      </c>
      <c r="F302" s="539">
        <f t="shared" si="0"/>
        <v>1</v>
      </c>
      <c r="G302" s="540">
        <f>SUM(G303:G305)</f>
        <v>78848</v>
      </c>
      <c r="H302" s="540">
        <f>SUM(H303:H305)</f>
        <v>23462</v>
      </c>
      <c r="I302" s="541">
        <f t="shared" si="1"/>
        <v>0.22932264685758968</v>
      </c>
      <c r="J302" s="542" t="s">
        <v>865</v>
      </c>
    </row>
    <row r="303" spans="1:10" ht="30">
      <c r="A303" s="551" t="s">
        <v>436</v>
      </c>
      <c r="B303" s="552" t="s">
        <v>560</v>
      </c>
      <c r="C303" s="546">
        <v>0.2932</v>
      </c>
      <c r="D303" s="644">
        <v>30000</v>
      </c>
      <c r="E303" s="615">
        <f aca="true" t="shared" si="48" ref="E303:E308">G303+H303</f>
        <v>30000</v>
      </c>
      <c r="F303" s="530">
        <f t="shared" si="0"/>
        <v>1</v>
      </c>
      <c r="G303" s="531">
        <v>21000</v>
      </c>
      <c r="H303" s="531">
        <v>9000</v>
      </c>
      <c r="I303" s="550">
        <f t="shared" si="1"/>
        <v>0.3</v>
      </c>
      <c r="J303" s="533" t="s">
        <v>865</v>
      </c>
    </row>
    <row r="304" spans="1:10" ht="15.75">
      <c r="A304" s="551" t="s">
        <v>437</v>
      </c>
      <c r="B304" s="552" t="s">
        <v>561</v>
      </c>
      <c r="C304" s="546">
        <v>0.6921</v>
      </c>
      <c r="D304" s="644">
        <v>70810</v>
      </c>
      <c r="E304" s="615">
        <f t="shared" si="48"/>
        <v>70810</v>
      </c>
      <c r="F304" s="530">
        <f t="shared" si="0"/>
        <v>1</v>
      </c>
      <c r="G304" s="531">
        <v>56648</v>
      </c>
      <c r="H304" s="531">
        <v>14162</v>
      </c>
      <c r="I304" s="550">
        <f t="shared" si="1"/>
        <v>0.2</v>
      </c>
      <c r="J304" s="533" t="s">
        <v>865</v>
      </c>
    </row>
    <row r="305" spans="1:10" ht="15.75">
      <c r="A305" s="551" t="s">
        <v>439</v>
      </c>
      <c r="B305" s="552" t="s">
        <v>527</v>
      </c>
      <c r="C305" s="546">
        <v>0.0147</v>
      </c>
      <c r="D305" s="644">
        <v>1500</v>
      </c>
      <c r="E305" s="615">
        <f t="shared" si="48"/>
        <v>1500</v>
      </c>
      <c r="F305" s="530">
        <f t="shared" si="0"/>
        <v>1</v>
      </c>
      <c r="G305" s="531">
        <v>1200</v>
      </c>
      <c r="H305" s="531">
        <v>300</v>
      </c>
      <c r="I305" s="550">
        <f t="shared" si="1"/>
        <v>0.2</v>
      </c>
      <c r="J305" s="533" t="s">
        <v>865</v>
      </c>
    </row>
    <row r="306" spans="1:10" ht="15.75">
      <c r="A306" s="534">
        <v>6</v>
      </c>
      <c r="B306" s="535" t="s">
        <v>562</v>
      </c>
      <c r="C306" s="536">
        <v>0.08</v>
      </c>
      <c r="D306" s="537">
        <f>$D$253*C306</f>
        <v>204620</v>
      </c>
      <c r="E306" s="614">
        <f t="shared" si="48"/>
        <v>204620</v>
      </c>
      <c r="F306" s="539">
        <f t="shared" si="0"/>
        <v>1</v>
      </c>
      <c r="G306" s="540">
        <f>+G307+G308</f>
        <v>114587.20000000001</v>
      </c>
      <c r="H306" s="540">
        <f>SUM(H307:H308)</f>
        <v>90032.8</v>
      </c>
      <c r="I306" s="541">
        <f t="shared" si="1"/>
        <v>0.44</v>
      </c>
      <c r="J306" s="542" t="s">
        <v>865</v>
      </c>
    </row>
    <row r="307" spans="1:10" ht="45">
      <c r="A307" s="551" t="s">
        <v>483</v>
      </c>
      <c r="B307" s="552" t="s">
        <v>563</v>
      </c>
      <c r="C307" s="546">
        <v>0.8</v>
      </c>
      <c r="D307" s="644">
        <v>163696</v>
      </c>
      <c r="E307" s="615">
        <f t="shared" si="48"/>
        <v>163696</v>
      </c>
      <c r="F307" s="530">
        <f t="shared" si="0"/>
        <v>1</v>
      </c>
      <c r="G307" s="531">
        <v>98217.6</v>
      </c>
      <c r="H307" s="531">
        <v>65478.4</v>
      </c>
      <c r="I307" s="550">
        <f t="shared" si="1"/>
        <v>0.4</v>
      </c>
      <c r="J307" s="533" t="s">
        <v>865</v>
      </c>
    </row>
    <row r="308" spans="1:10" ht="15.75">
      <c r="A308" s="645" t="s">
        <v>484</v>
      </c>
      <c r="B308" s="646" t="s">
        <v>564</v>
      </c>
      <c r="C308" s="546">
        <v>0.2</v>
      </c>
      <c r="D308" s="644">
        <v>40924</v>
      </c>
      <c r="E308" s="615">
        <f t="shared" si="48"/>
        <v>40924</v>
      </c>
      <c r="F308" s="530">
        <f t="shared" si="0"/>
        <v>1</v>
      </c>
      <c r="G308" s="531">
        <v>16369.6</v>
      </c>
      <c r="H308" s="531">
        <v>24554.4</v>
      </c>
      <c r="I308" s="550">
        <f t="shared" si="1"/>
        <v>0.6000000000000001</v>
      </c>
      <c r="J308" s="533" t="s">
        <v>865</v>
      </c>
    </row>
    <row r="309" spans="1:10" ht="60">
      <c r="A309" s="534">
        <v>7</v>
      </c>
      <c r="B309" s="535" t="s">
        <v>565</v>
      </c>
      <c r="C309" s="536">
        <v>0.26</v>
      </c>
      <c r="D309" s="537">
        <f>$D$253*C309</f>
        <v>665015</v>
      </c>
      <c r="E309" s="614">
        <f>SUM(E310,E315,E322,E325)</f>
        <v>665015</v>
      </c>
      <c r="F309" s="539">
        <f t="shared" si="0"/>
        <v>1</v>
      </c>
      <c r="G309" s="540">
        <f>SUM(G310,G315,G322,G325)</f>
        <v>629015</v>
      </c>
      <c r="H309" s="540">
        <f>SUM(H310,H315,H322,H325)</f>
        <v>36000</v>
      </c>
      <c r="I309" s="541">
        <f t="shared" si="1"/>
        <v>0.054134117275550175</v>
      </c>
      <c r="J309" s="542" t="s">
        <v>865</v>
      </c>
    </row>
    <row r="310" spans="1:10" ht="30">
      <c r="A310" s="551" t="s">
        <v>566</v>
      </c>
      <c r="B310" s="552" t="s">
        <v>567</v>
      </c>
      <c r="C310" s="553">
        <v>0.85</v>
      </c>
      <c r="D310" s="554">
        <f>$D$309*C310</f>
        <v>565262.75</v>
      </c>
      <c r="E310" s="615">
        <f>SUM(E311:E314)</f>
        <v>222015</v>
      </c>
      <c r="F310" s="530">
        <f t="shared" si="0"/>
        <v>0.39276424989971476</v>
      </c>
      <c r="G310" s="531">
        <f>SUM(G311:G314)</f>
        <v>210015</v>
      </c>
      <c r="H310" s="531">
        <f>SUM(H311:H314)</f>
        <v>12000</v>
      </c>
      <c r="I310" s="550">
        <f t="shared" si="1"/>
        <v>0.02122906559825497</v>
      </c>
      <c r="J310" s="533" t="s">
        <v>865</v>
      </c>
    </row>
    <row r="311" spans="1:10" ht="45">
      <c r="A311" s="593" t="s">
        <v>568</v>
      </c>
      <c r="B311" s="594" t="s">
        <v>569</v>
      </c>
      <c r="C311" s="557">
        <v>0.27</v>
      </c>
      <c r="D311" s="579">
        <v>60000</v>
      </c>
      <c r="E311" s="617">
        <f aca="true" t="shared" si="49" ref="E311:E314">G311+H311</f>
        <v>60000</v>
      </c>
      <c r="F311" s="560">
        <f t="shared" si="0"/>
        <v>1</v>
      </c>
      <c r="G311" s="561">
        <v>60000</v>
      </c>
      <c r="H311" s="561">
        <v>0</v>
      </c>
      <c r="I311" s="563">
        <f t="shared" si="1"/>
        <v>0</v>
      </c>
      <c r="J311" s="564" t="s">
        <v>865</v>
      </c>
    </row>
    <row r="312" spans="1:10" ht="30">
      <c r="A312" s="593" t="s">
        <v>570</v>
      </c>
      <c r="B312" s="594" t="s">
        <v>571</v>
      </c>
      <c r="C312" s="557">
        <v>0.27</v>
      </c>
      <c r="D312" s="579">
        <v>60000</v>
      </c>
      <c r="E312" s="617">
        <f t="shared" si="49"/>
        <v>60000</v>
      </c>
      <c r="F312" s="560">
        <f t="shared" si="0"/>
        <v>1</v>
      </c>
      <c r="G312" s="561">
        <v>60000</v>
      </c>
      <c r="H312" s="561">
        <v>0</v>
      </c>
      <c r="I312" s="563">
        <f t="shared" si="1"/>
        <v>0</v>
      </c>
      <c r="J312" s="564" t="s">
        <v>865</v>
      </c>
    </row>
    <row r="313" spans="1:10" ht="30">
      <c r="A313" s="593" t="s">
        <v>572</v>
      </c>
      <c r="B313" s="594" t="s">
        <v>573</v>
      </c>
      <c r="C313" s="557">
        <v>0.41</v>
      </c>
      <c r="D313" s="579">
        <v>90015</v>
      </c>
      <c r="E313" s="617">
        <f t="shared" si="49"/>
        <v>90015</v>
      </c>
      <c r="F313" s="560">
        <f t="shared" si="0"/>
        <v>1</v>
      </c>
      <c r="G313" s="561">
        <v>90015</v>
      </c>
      <c r="H313" s="561">
        <v>0</v>
      </c>
      <c r="I313" s="563">
        <f t="shared" si="1"/>
        <v>0</v>
      </c>
      <c r="J313" s="564" t="s">
        <v>865</v>
      </c>
    </row>
    <row r="314" spans="1:10" ht="30">
      <c r="A314" s="593" t="s">
        <v>574</v>
      </c>
      <c r="B314" s="594" t="s">
        <v>575</v>
      </c>
      <c r="C314" s="557">
        <v>0.05</v>
      </c>
      <c r="D314" s="579">
        <v>12000</v>
      </c>
      <c r="E314" s="617">
        <f t="shared" si="49"/>
        <v>12000</v>
      </c>
      <c r="F314" s="560">
        <f t="shared" si="0"/>
        <v>1</v>
      </c>
      <c r="G314" s="561">
        <v>0</v>
      </c>
      <c r="H314" s="561">
        <v>12000</v>
      </c>
      <c r="I314" s="563">
        <f t="shared" si="1"/>
        <v>1</v>
      </c>
      <c r="J314" s="564" t="s">
        <v>865</v>
      </c>
    </row>
    <row r="315" spans="1:10" ht="15.75">
      <c r="A315" s="551" t="s">
        <v>576</v>
      </c>
      <c r="B315" s="552" t="s">
        <v>577</v>
      </c>
      <c r="C315" s="553">
        <v>0.09</v>
      </c>
      <c r="D315" s="554">
        <f>+D316+D319+D320+D321</f>
        <v>178000</v>
      </c>
      <c r="E315" s="615">
        <f>SUM(E316,E319:E321)</f>
        <v>178000</v>
      </c>
      <c r="F315" s="530">
        <f t="shared" si="0"/>
        <v>1</v>
      </c>
      <c r="G315" s="531">
        <f>SUM(G316,G319:G321)</f>
        <v>167000</v>
      </c>
      <c r="H315" s="531">
        <f>SUM(H316,H319:H321)</f>
        <v>11000</v>
      </c>
      <c r="I315" s="550">
        <f t="shared" si="1"/>
        <v>0.06179775280898876</v>
      </c>
      <c r="J315" s="533" t="s">
        <v>865</v>
      </c>
    </row>
    <row r="316" spans="1:10" ht="30">
      <c r="A316" s="593" t="s">
        <v>578</v>
      </c>
      <c r="B316" s="594" t="s">
        <v>579</v>
      </c>
      <c r="C316" s="557">
        <v>0.56</v>
      </c>
      <c r="D316" s="647">
        <v>100000</v>
      </c>
      <c r="E316" s="617">
        <f>+E317+E318</f>
        <v>100000</v>
      </c>
      <c r="F316" s="560">
        <f t="shared" si="0"/>
        <v>1</v>
      </c>
      <c r="G316" s="561">
        <f>+G317+G318</f>
        <v>100000</v>
      </c>
      <c r="H316" s="561">
        <f>+H317+H318</f>
        <v>0</v>
      </c>
      <c r="I316" s="563">
        <f>+H316/D316</f>
        <v>0</v>
      </c>
      <c r="J316" s="564"/>
    </row>
    <row r="317" spans="1:10" ht="15.75">
      <c r="A317" s="619" t="s">
        <v>580</v>
      </c>
      <c r="B317" s="620" t="s">
        <v>581</v>
      </c>
      <c r="C317" s="584">
        <v>0.5</v>
      </c>
      <c r="D317" s="585">
        <v>50000</v>
      </c>
      <c r="E317" s="622">
        <f aca="true" t="shared" si="50" ref="E317:E324">G317+H317</f>
        <v>50000</v>
      </c>
      <c r="F317" s="623">
        <f t="shared" si="0"/>
        <v>1</v>
      </c>
      <c r="G317" s="588">
        <v>50000</v>
      </c>
      <c r="H317" s="588">
        <v>0</v>
      </c>
      <c r="I317" s="624">
        <f aca="true" t="shared" si="51" ref="I317:I435">H317/D317</f>
        <v>0</v>
      </c>
      <c r="J317" s="590" t="s">
        <v>865</v>
      </c>
    </row>
    <row r="318" spans="1:10" ht="15.75">
      <c r="A318" s="619" t="s">
        <v>582</v>
      </c>
      <c r="B318" s="620" t="s">
        <v>525</v>
      </c>
      <c r="C318" s="584">
        <v>0.5</v>
      </c>
      <c r="D318" s="585">
        <v>50000</v>
      </c>
      <c r="E318" s="622">
        <f t="shared" si="50"/>
        <v>50000</v>
      </c>
      <c r="F318" s="623">
        <f t="shared" si="0"/>
        <v>1</v>
      </c>
      <c r="G318" s="588">
        <v>50000</v>
      </c>
      <c r="H318" s="588">
        <v>0</v>
      </c>
      <c r="I318" s="624">
        <f t="shared" si="51"/>
        <v>0</v>
      </c>
      <c r="J318" s="590" t="s">
        <v>865</v>
      </c>
    </row>
    <row r="319" spans="1:10" ht="30">
      <c r="A319" s="593" t="s">
        <v>583</v>
      </c>
      <c r="B319" s="594" t="s">
        <v>584</v>
      </c>
      <c r="C319" s="557">
        <v>0.04</v>
      </c>
      <c r="D319" s="579">
        <v>8000</v>
      </c>
      <c r="E319" s="617">
        <f t="shared" si="50"/>
        <v>8000</v>
      </c>
      <c r="F319" s="560">
        <f t="shared" si="0"/>
        <v>1</v>
      </c>
      <c r="G319" s="561">
        <v>8000</v>
      </c>
      <c r="H319" s="561">
        <v>0</v>
      </c>
      <c r="I319" s="563">
        <f t="shared" si="51"/>
        <v>0</v>
      </c>
      <c r="J319" s="564" t="s">
        <v>865</v>
      </c>
    </row>
    <row r="320" spans="1:10" ht="15.75">
      <c r="A320" s="593" t="s">
        <v>585</v>
      </c>
      <c r="B320" s="594" t="s">
        <v>586</v>
      </c>
      <c r="C320" s="557">
        <v>0.08</v>
      </c>
      <c r="D320" s="579">
        <v>15000</v>
      </c>
      <c r="E320" s="617">
        <f t="shared" si="50"/>
        <v>15000</v>
      </c>
      <c r="F320" s="560">
        <f t="shared" si="0"/>
        <v>1</v>
      </c>
      <c r="G320" s="561">
        <v>15000</v>
      </c>
      <c r="H320" s="561">
        <v>0</v>
      </c>
      <c r="I320" s="563">
        <f t="shared" si="51"/>
        <v>0</v>
      </c>
      <c r="J320" s="564" t="s">
        <v>865</v>
      </c>
    </row>
    <row r="321" spans="1:10" ht="45">
      <c r="A321" s="593" t="s">
        <v>587</v>
      </c>
      <c r="B321" s="594" t="s">
        <v>588</v>
      </c>
      <c r="C321" s="557">
        <v>0.31</v>
      </c>
      <c r="D321" s="579">
        <v>55000</v>
      </c>
      <c r="E321" s="617">
        <f t="shared" si="50"/>
        <v>55000</v>
      </c>
      <c r="F321" s="560">
        <f t="shared" si="0"/>
        <v>1</v>
      </c>
      <c r="G321" s="561">
        <v>44000</v>
      </c>
      <c r="H321" s="561">
        <v>11000</v>
      </c>
      <c r="I321" s="563">
        <f t="shared" si="51"/>
        <v>0.2</v>
      </c>
      <c r="J321" s="564" t="s">
        <v>865</v>
      </c>
    </row>
    <row r="322" spans="1:10" ht="15.75">
      <c r="A322" s="551" t="s">
        <v>589</v>
      </c>
      <c r="B322" s="552" t="s">
        <v>590</v>
      </c>
      <c r="C322" s="553">
        <v>0.06</v>
      </c>
      <c r="D322" s="554">
        <f>+D323+D324</f>
        <v>105000</v>
      </c>
      <c r="E322" s="615">
        <f t="shared" si="50"/>
        <v>105000</v>
      </c>
      <c r="F322" s="530">
        <f t="shared" si="0"/>
        <v>1</v>
      </c>
      <c r="G322" s="531">
        <f>+G323+G324</f>
        <v>100000</v>
      </c>
      <c r="H322" s="531">
        <f>+H323+H324</f>
        <v>5000</v>
      </c>
      <c r="I322" s="550">
        <f t="shared" si="51"/>
        <v>0.047619047619047616</v>
      </c>
      <c r="J322" s="533" t="s">
        <v>865</v>
      </c>
    </row>
    <row r="323" spans="1:10" ht="30">
      <c r="A323" s="593" t="s">
        <v>591</v>
      </c>
      <c r="B323" s="594" t="s">
        <v>592</v>
      </c>
      <c r="C323" s="557">
        <v>0.95</v>
      </c>
      <c r="D323" s="579">
        <v>100000</v>
      </c>
      <c r="E323" s="617">
        <f t="shared" si="50"/>
        <v>100000</v>
      </c>
      <c r="F323" s="560">
        <f t="shared" si="0"/>
        <v>1</v>
      </c>
      <c r="G323" s="561">
        <v>100000</v>
      </c>
      <c r="H323" s="561">
        <v>0</v>
      </c>
      <c r="I323" s="563">
        <f t="shared" si="51"/>
        <v>0</v>
      </c>
      <c r="J323" s="564" t="s">
        <v>865</v>
      </c>
    </row>
    <row r="324" spans="1:10" ht="30">
      <c r="A324" s="593" t="s">
        <v>593</v>
      </c>
      <c r="B324" s="594" t="s">
        <v>594</v>
      </c>
      <c r="C324" s="557">
        <v>0.05</v>
      </c>
      <c r="D324" s="579">
        <v>5000</v>
      </c>
      <c r="E324" s="617">
        <f t="shared" si="50"/>
        <v>5000</v>
      </c>
      <c r="F324" s="560">
        <f t="shared" si="0"/>
        <v>1</v>
      </c>
      <c r="G324" s="561">
        <v>0</v>
      </c>
      <c r="H324" s="561">
        <v>5000</v>
      </c>
      <c r="I324" s="563">
        <f t="shared" si="51"/>
        <v>1</v>
      </c>
      <c r="J324" s="564" t="s">
        <v>865</v>
      </c>
    </row>
    <row r="325" spans="1:10" ht="15.75">
      <c r="A325" s="551" t="s">
        <v>595</v>
      </c>
      <c r="B325" s="552" t="s">
        <v>596</v>
      </c>
      <c r="C325" s="546">
        <v>0.24</v>
      </c>
      <c r="D325" s="637">
        <f>+D326+D327+D328</f>
        <v>160000</v>
      </c>
      <c r="E325" s="615">
        <f>SUM(E326:E328)</f>
        <v>160000</v>
      </c>
      <c r="F325" s="530">
        <f t="shared" si="0"/>
        <v>1</v>
      </c>
      <c r="G325" s="531">
        <f>SUM(G326:G328)</f>
        <v>152000</v>
      </c>
      <c r="H325" s="531">
        <f>SUM(H326:H328)</f>
        <v>8000</v>
      </c>
      <c r="I325" s="550">
        <f t="shared" si="51"/>
        <v>0.05</v>
      </c>
      <c r="J325" s="533" t="s">
        <v>865</v>
      </c>
    </row>
    <row r="326" spans="1:10" ht="30">
      <c r="A326" s="593" t="s">
        <v>597</v>
      </c>
      <c r="B326" s="594" t="s">
        <v>598</v>
      </c>
      <c r="C326" s="557">
        <v>0.5</v>
      </c>
      <c r="D326" s="579">
        <v>80000</v>
      </c>
      <c r="E326" s="617">
        <f aca="true" t="shared" si="52" ref="E326:E328">G326+H326</f>
        <v>80000</v>
      </c>
      <c r="F326" s="560">
        <f t="shared" si="0"/>
        <v>1</v>
      </c>
      <c r="G326" s="561">
        <v>80000</v>
      </c>
      <c r="H326" s="561">
        <v>0</v>
      </c>
      <c r="I326" s="563">
        <f t="shared" si="51"/>
        <v>0</v>
      </c>
      <c r="J326" s="564" t="s">
        <v>865</v>
      </c>
    </row>
    <row r="327" spans="1:10" ht="30">
      <c r="A327" s="593" t="s">
        <v>599</v>
      </c>
      <c r="B327" s="594" t="s">
        <v>600</v>
      </c>
      <c r="C327" s="557">
        <v>0.45</v>
      </c>
      <c r="D327" s="579">
        <v>72000</v>
      </c>
      <c r="E327" s="617">
        <f t="shared" si="52"/>
        <v>72000</v>
      </c>
      <c r="F327" s="560">
        <f t="shared" si="0"/>
        <v>1</v>
      </c>
      <c r="G327" s="561">
        <v>72000</v>
      </c>
      <c r="H327" s="561">
        <v>0</v>
      </c>
      <c r="I327" s="563">
        <f t="shared" si="51"/>
        <v>0</v>
      </c>
      <c r="J327" s="564" t="s">
        <v>865</v>
      </c>
    </row>
    <row r="328" spans="1:10" ht="15.75">
      <c r="A328" s="593" t="s">
        <v>601</v>
      </c>
      <c r="B328" s="594" t="s">
        <v>527</v>
      </c>
      <c r="C328" s="557">
        <v>0.05</v>
      </c>
      <c r="D328" s="579">
        <v>8000</v>
      </c>
      <c r="E328" s="617">
        <f t="shared" si="52"/>
        <v>8000</v>
      </c>
      <c r="F328" s="560">
        <f t="shared" si="0"/>
        <v>1</v>
      </c>
      <c r="G328" s="561">
        <v>0</v>
      </c>
      <c r="H328" s="561">
        <v>8000</v>
      </c>
      <c r="I328" s="563">
        <f t="shared" si="51"/>
        <v>1</v>
      </c>
      <c r="J328" s="564" t="s">
        <v>865</v>
      </c>
    </row>
    <row r="329" spans="1:10" ht="31.5">
      <c r="A329" s="605" t="s">
        <v>602</v>
      </c>
      <c r="B329" s="606" t="s">
        <v>603</v>
      </c>
      <c r="C329" s="607" t="s">
        <v>604</v>
      </c>
      <c r="D329" s="608">
        <f>D1*3.3%</f>
        <v>1298550</v>
      </c>
      <c r="E329" s="609">
        <f>SUM(E330,E337)</f>
        <v>1298550.8475</v>
      </c>
      <c r="F329" s="648">
        <f>+E329/D329</f>
        <v>1.0000006526510339</v>
      </c>
      <c r="G329" s="611">
        <f>SUM(G330,G337)</f>
        <v>1298550.8475</v>
      </c>
      <c r="H329" s="649">
        <f>SUM(H330,H337)</f>
        <v>0</v>
      </c>
      <c r="I329" s="650">
        <f t="shared" si="51"/>
        <v>0</v>
      </c>
      <c r="J329" s="613" t="s">
        <v>865</v>
      </c>
    </row>
    <row r="330" spans="1:10" ht="30">
      <c r="A330" s="534">
        <v>1</v>
      </c>
      <c r="B330" s="535" t="s">
        <v>887</v>
      </c>
      <c r="C330" s="536">
        <v>0.95</v>
      </c>
      <c r="D330" s="537">
        <f>$D$329*C330</f>
        <v>1233622.5</v>
      </c>
      <c r="E330" s="614">
        <f>SUM(E331:E336)</f>
        <v>1233686.6275</v>
      </c>
      <c r="F330" s="651">
        <f aca="true" t="shared" si="53" ref="F330:F435">E330/D330</f>
        <v>1.0000519830823449</v>
      </c>
      <c r="G330" s="540">
        <f>SUM(G331:G336)</f>
        <v>1233686.6275</v>
      </c>
      <c r="H330" s="652">
        <f>SUM(H331:H336)</f>
        <v>0</v>
      </c>
      <c r="I330" s="640">
        <f t="shared" si="51"/>
        <v>0</v>
      </c>
      <c r="J330" s="542" t="s">
        <v>888</v>
      </c>
    </row>
    <row r="331" spans="1:10" ht="15.75">
      <c r="A331" s="551" t="s">
        <v>10</v>
      </c>
      <c r="B331" s="552" t="s">
        <v>407</v>
      </c>
      <c r="C331" s="553">
        <v>0.1</v>
      </c>
      <c r="D331" s="554">
        <f aca="true" t="shared" si="54" ref="D331:D332">INT($D$330*C331)</f>
        <v>123362</v>
      </c>
      <c r="E331" s="615">
        <f aca="true" t="shared" si="55" ref="E331:E336">G331+H331</f>
        <v>123362</v>
      </c>
      <c r="F331" s="653">
        <f t="shared" si="53"/>
        <v>1</v>
      </c>
      <c r="G331" s="531">
        <v>123362</v>
      </c>
      <c r="H331" s="654">
        <v>0</v>
      </c>
      <c r="I331" s="532">
        <f t="shared" si="51"/>
        <v>0</v>
      </c>
      <c r="J331" s="533" t="s">
        <v>888</v>
      </c>
    </row>
    <row r="332" spans="1:10" ht="15.75">
      <c r="A332" s="551" t="s">
        <v>20</v>
      </c>
      <c r="B332" s="552" t="s">
        <v>412</v>
      </c>
      <c r="C332" s="553">
        <v>0.25</v>
      </c>
      <c r="D332" s="554">
        <f t="shared" si="54"/>
        <v>308405</v>
      </c>
      <c r="E332" s="615">
        <f t="shared" si="55"/>
        <v>308404.9975</v>
      </c>
      <c r="F332" s="653">
        <f t="shared" si="53"/>
        <v>0.9999999918937761</v>
      </c>
      <c r="G332" s="531">
        <v>308404.9975</v>
      </c>
      <c r="H332" s="654">
        <v>0</v>
      </c>
      <c r="I332" s="532">
        <f t="shared" si="51"/>
        <v>0</v>
      </c>
      <c r="J332" s="533" t="s">
        <v>888</v>
      </c>
    </row>
    <row r="333" spans="1:10" ht="15.75">
      <c r="A333" s="551" t="s">
        <v>87</v>
      </c>
      <c r="B333" s="552" t="s">
        <v>825</v>
      </c>
      <c r="C333" s="553">
        <v>0.04</v>
      </c>
      <c r="D333" s="554">
        <v>49411.63</v>
      </c>
      <c r="E333" s="615">
        <f t="shared" si="55"/>
        <v>49411.63</v>
      </c>
      <c r="F333" s="653">
        <f t="shared" si="53"/>
        <v>1</v>
      </c>
      <c r="G333" s="531">
        <v>49411.63</v>
      </c>
      <c r="H333" s="654">
        <v>0</v>
      </c>
      <c r="I333" s="532">
        <f t="shared" si="51"/>
        <v>0</v>
      </c>
      <c r="J333" s="533" t="s">
        <v>888</v>
      </c>
    </row>
    <row r="334" spans="1:10" ht="15.75">
      <c r="A334" s="551" t="s">
        <v>89</v>
      </c>
      <c r="B334" s="552" t="s">
        <v>889</v>
      </c>
      <c r="C334" s="553">
        <v>0.13</v>
      </c>
      <c r="D334" s="554">
        <f>INT($D$330*C334)</f>
        <v>160370</v>
      </c>
      <c r="E334" s="615">
        <f t="shared" si="55"/>
        <v>160370</v>
      </c>
      <c r="F334" s="653">
        <f t="shared" si="53"/>
        <v>1</v>
      </c>
      <c r="G334" s="531">
        <v>160370</v>
      </c>
      <c r="H334" s="654">
        <v>0</v>
      </c>
      <c r="I334" s="532">
        <f t="shared" si="51"/>
        <v>0</v>
      </c>
      <c r="J334" s="533" t="s">
        <v>888</v>
      </c>
    </row>
    <row r="335" spans="1:10" ht="15.75">
      <c r="A335" s="551" t="s">
        <v>91</v>
      </c>
      <c r="B335" s="552" t="s">
        <v>419</v>
      </c>
      <c r="C335" s="553">
        <v>0.43</v>
      </c>
      <c r="D335" s="554">
        <f>480000+49345</f>
        <v>529345</v>
      </c>
      <c r="E335" s="615">
        <f t="shared" si="55"/>
        <v>529345</v>
      </c>
      <c r="F335" s="653">
        <f t="shared" si="53"/>
        <v>1</v>
      </c>
      <c r="G335" s="531">
        <v>529345</v>
      </c>
      <c r="H335" s="654">
        <v>0</v>
      </c>
      <c r="I335" s="532">
        <f t="shared" si="51"/>
        <v>0</v>
      </c>
      <c r="J335" s="533" t="s">
        <v>888</v>
      </c>
    </row>
    <row r="336" spans="1:10" ht="15.75">
      <c r="A336" s="551" t="s">
        <v>93</v>
      </c>
      <c r="B336" s="552" t="s">
        <v>608</v>
      </c>
      <c r="C336" s="553">
        <v>0.05</v>
      </c>
      <c r="D336" s="554">
        <v>62793</v>
      </c>
      <c r="E336" s="615">
        <f t="shared" si="55"/>
        <v>62793</v>
      </c>
      <c r="F336" s="653">
        <f t="shared" si="53"/>
        <v>1</v>
      </c>
      <c r="G336" s="531">
        <v>62793</v>
      </c>
      <c r="H336" s="654">
        <v>0</v>
      </c>
      <c r="I336" s="532">
        <f t="shared" si="51"/>
        <v>0</v>
      </c>
      <c r="J336" s="533" t="s">
        <v>888</v>
      </c>
    </row>
    <row r="337" spans="1:10" ht="45">
      <c r="A337" s="534">
        <v>2</v>
      </c>
      <c r="B337" s="535" t="s">
        <v>609</v>
      </c>
      <c r="C337" s="536">
        <v>0.05</v>
      </c>
      <c r="D337" s="537">
        <f>+E337</f>
        <v>64864.22</v>
      </c>
      <c r="E337" s="614">
        <f>SUM(E338:E340)</f>
        <v>64864.22</v>
      </c>
      <c r="F337" s="651">
        <f t="shared" si="53"/>
        <v>1</v>
      </c>
      <c r="G337" s="540">
        <f>SUM(G338:G340)</f>
        <v>64864.22</v>
      </c>
      <c r="H337" s="652">
        <f>SUM(H338:H340)</f>
        <v>0</v>
      </c>
      <c r="I337" s="640">
        <f t="shared" si="51"/>
        <v>0</v>
      </c>
      <c r="J337" s="542" t="s">
        <v>865</v>
      </c>
    </row>
    <row r="338" spans="1:10" ht="15.75">
      <c r="A338" s="551" t="s">
        <v>62</v>
      </c>
      <c r="B338" s="552" t="s">
        <v>407</v>
      </c>
      <c r="C338" s="553">
        <v>0.1</v>
      </c>
      <c r="D338" s="554">
        <v>6427.86</v>
      </c>
      <c r="E338" s="615">
        <f aca="true" t="shared" si="56" ref="E338:E340">G338+H338</f>
        <v>6427.86</v>
      </c>
      <c r="F338" s="653">
        <f t="shared" si="53"/>
        <v>1</v>
      </c>
      <c r="G338" s="531">
        <v>6427.86</v>
      </c>
      <c r="H338" s="654">
        <v>0</v>
      </c>
      <c r="I338" s="532">
        <f t="shared" si="51"/>
        <v>0</v>
      </c>
      <c r="J338" s="533" t="s">
        <v>865</v>
      </c>
    </row>
    <row r="339" spans="1:10" ht="15.75">
      <c r="A339" s="551" t="s">
        <v>64</v>
      </c>
      <c r="B339" s="552" t="s">
        <v>412</v>
      </c>
      <c r="C339" s="553">
        <v>0.35</v>
      </c>
      <c r="D339" s="554">
        <f>INT($D$337*C339)</f>
        <v>22702</v>
      </c>
      <c r="E339" s="615">
        <f t="shared" si="56"/>
        <v>22724.86</v>
      </c>
      <c r="F339" s="653">
        <f t="shared" si="53"/>
        <v>1.0010069597392302</v>
      </c>
      <c r="G339" s="531">
        <v>22724.86</v>
      </c>
      <c r="H339" s="654">
        <v>0</v>
      </c>
      <c r="I339" s="532">
        <f t="shared" si="51"/>
        <v>0</v>
      </c>
      <c r="J339" s="533" t="s">
        <v>865</v>
      </c>
    </row>
    <row r="340" spans="1:10" ht="15.75">
      <c r="A340" s="551" t="s">
        <v>66</v>
      </c>
      <c r="B340" s="552" t="s">
        <v>419</v>
      </c>
      <c r="C340" s="553">
        <v>0.55</v>
      </c>
      <c r="D340" s="554">
        <v>35711.5</v>
      </c>
      <c r="E340" s="615">
        <f t="shared" si="56"/>
        <v>35711.5</v>
      </c>
      <c r="F340" s="653">
        <f t="shared" si="53"/>
        <v>1</v>
      </c>
      <c r="G340" s="531">
        <v>35711.5</v>
      </c>
      <c r="H340" s="654">
        <v>0</v>
      </c>
      <c r="I340" s="532">
        <f t="shared" si="51"/>
        <v>0</v>
      </c>
      <c r="J340" s="533" t="s">
        <v>865</v>
      </c>
    </row>
    <row r="341" spans="1:10" ht="31.5">
      <c r="A341" s="605" t="s">
        <v>611</v>
      </c>
      <c r="B341" s="606" t="s">
        <v>612</v>
      </c>
      <c r="C341" s="655" t="s">
        <v>613</v>
      </c>
      <c r="D341" s="608">
        <f>D1*21.9%</f>
        <v>8617649.999999998</v>
      </c>
      <c r="E341" s="609">
        <f>SUM(E342:E344,E347:E351)</f>
        <v>8617650</v>
      </c>
      <c r="F341" s="610">
        <f t="shared" si="53"/>
        <v>1.0000000000000002</v>
      </c>
      <c r="G341" s="611">
        <f>SUM(G342:G344,G347:G351)</f>
        <v>8617650</v>
      </c>
      <c r="H341" s="611">
        <f>SUM(H342:H344,H347:H351)</f>
        <v>0</v>
      </c>
      <c r="I341" s="612">
        <f t="shared" si="51"/>
        <v>0</v>
      </c>
      <c r="J341" s="613" t="s">
        <v>865</v>
      </c>
    </row>
    <row r="342" spans="1:10" ht="30">
      <c r="A342" s="534">
        <v>1</v>
      </c>
      <c r="B342" s="535" t="s">
        <v>614</v>
      </c>
      <c r="C342" s="536">
        <v>0.06</v>
      </c>
      <c r="D342" s="537">
        <f aca="true" t="shared" si="57" ref="D342:D344">$D$341*C342</f>
        <v>517058.9999999999</v>
      </c>
      <c r="E342" s="614">
        <f aca="true" t="shared" si="58" ref="E342:E343">G342+H342</f>
        <v>517059</v>
      </c>
      <c r="F342" s="539">
        <f t="shared" si="53"/>
        <v>1.0000000000000002</v>
      </c>
      <c r="G342" s="540">
        <v>517059</v>
      </c>
      <c r="H342" s="652">
        <v>0</v>
      </c>
      <c r="I342" s="541">
        <f t="shared" si="51"/>
        <v>0</v>
      </c>
      <c r="J342" s="542" t="s">
        <v>865</v>
      </c>
    </row>
    <row r="343" spans="1:10" ht="15.75">
      <c r="A343" s="534">
        <v>2</v>
      </c>
      <c r="B343" s="535" t="s">
        <v>615</v>
      </c>
      <c r="C343" s="536">
        <v>0.47</v>
      </c>
      <c r="D343" s="537">
        <f t="shared" si="57"/>
        <v>4050295.499999999</v>
      </c>
      <c r="E343" s="614">
        <f t="shared" si="58"/>
        <v>4050295.5</v>
      </c>
      <c r="F343" s="539">
        <f t="shared" si="53"/>
        <v>1.0000000000000002</v>
      </c>
      <c r="G343" s="540">
        <v>4050295.5</v>
      </c>
      <c r="H343" s="652">
        <v>0</v>
      </c>
      <c r="I343" s="541">
        <f t="shared" si="51"/>
        <v>0</v>
      </c>
      <c r="J343" s="542" t="s">
        <v>865</v>
      </c>
    </row>
    <row r="344" spans="1:10" ht="15.75">
      <c r="A344" s="534">
        <v>3</v>
      </c>
      <c r="B344" s="535" t="s">
        <v>616</v>
      </c>
      <c r="C344" s="536">
        <v>0.07</v>
      </c>
      <c r="D344" s="537">
        <f t="shared" si="57"/>
        <v>603235.4999999999</v>
      </c>
      <c r="E344" s="614">
        <f>SUM(E345:E346)</f>
        <v>603235.5</v>
      </c>
      <c r="F344" s="539">
        <f t="shared" si="53"/>
        <v>1.0000000000000002</v>
      </c>
      <c r="G344" s="540">
        <f>SUM(G345:G346)</f>
        <v>603235.5</v>
      </c>
      <c r="H344" s="652">
        <f>+H345+H346</f>
        <v>0</v>
      </c>
      <c r="I344" s="541">
        <f t="shared" si="51"/>
        <v>0</v>
      </c>
      <c r="J344" s="542" t="s">
        <v>865</v>
      </c>
    </row>
    <row r="345" spans="1:10" ht="15.75">
      <c r="A345" s="544" t="s">
        <v>71</v>
      </c>
      <c r="B345" s="545" t="s">
        <v>617</v>
      </c>
      <c r="C345" s="656">
        <v>0.8</v>
      </c>
      <c r="D345" s="636">
        <v>482588.4</v>
      </c>
      <c r="E345" s="615">
        <f aca="true" t="shared" si="59" ref="E345:E351">G345+H345</f>
        <v>482588.4</v>
      </c>
      <c r="F345" s="653">
        <f t="shared" si="53"/>
        <v>1</v>
      </c>
      <c r="G345" s="531">
        <v>482588.4</v>
      </c>
      <c r="H345" s="654">
        <v>0</v>
      </c>
      <c r="I345" s="550">
        <f t="shared" si="51"/>
        <v>0</v>
      </c>
      <c r="J345" s="533" t="s">
        <v>865</v>
      </c>
    </row>
    <row r="346" spans="1:10" ht="15.75">
      <c r="A346" s="544" t="s">
        <v>73</v>
      </c>
      <c r="B346" s="545" t="s">
        <v>618</v>
      </c>
      <c r="C346" s="656">
        <v>0.2</v>
      </c>
      <c r="D346" s="636">
        <v>120647.1</v>
      </c>
      <c r="E346" s="615">
        <f t="shared" si="59"/>
        <v>120647.1</v>
      </c>
      <c r="F346" s="653">
        <f t="shared" si="53"/>
        <v>1</v>
      </c>
      <c r="G346" s="531">
        <v>120647.1</v>
      </c>
      <c r="H346" s="654">
        <v>0</v>
      </c>
      <c r="I346" s="550">
        <f t="shared" si="51"/>
        <v>0</v>
      </c>
      <c r="J346" s="533" t="s">
        <v>865</v>
      </c>
    </row>
    <row r="347" spans="1:10" ht="15.75">
      <c r="A347" s="534">
        <v>4</v>
      </c>
      <c r="B347" s="535" t="s">
        <v>619</v>
      </c>
      <c r="C347" s="536">
        <v>0.06</v>
      </c>
      <c r="D347" s="537">
        <f aca="true" t="shared" si="60" ref="D347:D351">$D$341*C347</f>
        <v>517058.9999999999</v>
      </c>
      <c r="E347" s="614">
        <f t="shared" si="59"/>
        <v>517059</v>
      </c>
      <c r="F347" s="539">
        <f t="shared" si="53"/>
        <v>1.0000000000000002</v>
      </c>
      <c r="G347" s="540">
        <v>517059</v>
      </c>
      <c r="H347" s="652">
        <v>0</v>
      </c>
      <c r="I347" s="541">
        <f t="shared" si="51"/>
        <v>0</v>
      </c>
      <c r="J347" s="542" t="s">
        <v>865</v>
      </c>
    </row>
    <row r="348" spans="1:10" ht="15.75">
      <c r="A348" s="534">
        <v>5</v>
      </c>
      <c r="B348" s="535" t="s">
        <v>620</v>
      </c>
      <c r="C348" s="536">
        <v>0.13</v>
      </c>
      <c r="D348" s="537">
        <f t="shared" si="60"/>
        <v>1120294.4999999998</v>
      </c>
      <c r="E348" s="614">
        <f t="shared" si="59"/>
        <v>1120294.5</v>
      </c>
      <c r="F348" s="539">
        <f t="shared" si="53"/>
        <v>1.0000000000000002</v>
      </c>
      <c r="G348" s="540">
        <v>1120294.5</v>
      </c>
      <c r="H348" s="652">
        <v>0</v>
      </c>
      <c r="I348" s="541">
        <f t="shared" si="51"/>
        <v>0</v>
      </c>
      <c r="J348" s="542" t="s">
        <v>865</v>
      </c>
    </row>
    <row r="349" spans="1:10" ht="15.75">
      <c r="A349" s="534">
        <v>6</v>
      </c>
      <c r="B349" s="535" t="s">
        <v>621</v>
      </c>
      <c r="C349" s="536">
        <v>0.09</v>
      </c>
      <c r="D349" s="537">
        <f t="shared" si="60"/>
        <v>775588.4999999998</v>
      </c>
      <c r="E349" s="614">
        <f t="shared" si="59"/>
        <v>775588.5</v>
      </c>
      <c r="F349" s="539">
        <f t="shared" si="53"/>
        <v>1.0000000000000002</v>
      </c>
      <c r="G349" s="540">
        <v>775588.5</v>
      </c>
      <c r="H349" s="652">
        <v>0</v>
      </c>
      <c r="I349" s="541">
        <f t="shared" si="51"/>
        <v>0</v>
      </c>
      <c r="J349" s="542" t="s">
        <v>865</v>
      </c>
    </row>
    <row r="350" spans="1:10" ht="30">
      <c r="A350" s="534">
        <v>7</v>
      </c>
      <c r="B350" s="535" t="s">
        <v>622</v>
      </c>
      <c r="C350" s="536">
        <v>0.01</v>
      </c>
      <c r="D350" s="537">
        <f t="shared" si="60"/>
        <v>86176.49999999999</v>
      </c>
      <c r="E350" s="614">
        <f t="shared" si="59"/>
        <v>86176.5</v>
      </c>
      <c r="F350" s="539">
        <f t="shared" si="53"/>
        <v>1.0000000000000002</v>
      </c>
      <c r="G350" s="540">
        <v>86176.5</v>
      </c>
      <c r="H350" s="652">
        <v>0</v>
      </c>
      <c r="I350" s="541">
        <f t="shared" si="51"/>
        <v>0</v>
      </c>
      <c r="J350" s="542" t="s">
        <v>865</v>
      </c>
    </row>
    <row r="351" spans="1:10" ht="45">
      <c r="A351" s="534">
        <v>8</v>
      </c>
      <c r="B351" s="535" t="s">
        <v>890</v>
      </c>
      <c r="C351" s="536">
        <v>0.11</v>
      </c>
      <c r="D351" s="537">
        <f t="shared" si="60"/>
        <v>947941.4999999998</v>
      </c>
      <c r="E351" s="614">
        <f t="shared" si="59"/>
        <v>947941.5</v>
      </c>
      <c r="F351" s="539">
        <f t="shared" si="53"/>
        <v>1.0000000000000002</v>
      </c>
      <c r="G351" s="540">
        <v>947941.5</v>
      </c>
      <c r="H351" s="652">
        <v>0</v>
      </c>
      <c r="I351" s="541">
        <f t="shared" si="51"/>
        <v>0</v>
      </c>
      <c r="J351" s="542" t="s">
        <v>865</v>
      </c>
    </row>
    <row r="352" spans="1:10" ht="31.5">
      <c r="A352" s="605" t="s">
        <v>624</v>
      </c>
      <c r="B352" s="606" t="s">
        <v>625</v>
      </c>
      <c r="C352" s="655" t="s">
        <v>626</v>
      </c>
      <c r="D352" s="608">
        <f>D1*21.3%</f>
        <v>8381550</v>
      </c>
      <c r="E352" s="609">
        <f>SUM(E353,E362,E380)</f>
        <v>8381550.009999999</v>
      </c>
      <c r="F352" s="610">
        <f t="shared" si="53"/>
        <v>1.0000000011930965</v>
      </c>
      <c r="G352" s="611">
        <f>G353+G362+G380</f>
        <v>7091323.289999999</v>
      </c>
      <c r="H352" s="611">
        <f>H353+H362+H380</f>
        <v>1290226.7199999997</v>
      </c>
      <c r="I352" s="612">
        <f t="shared" si="51"/>
        <v>0.1539365296395058</v>
      </c>
      <c r="J352" s="613" t="s">
        <v>865</v>
      </c>
    </row>
    <row r="353" spans="1:10" ht="75">
      <c r="A353" s="534">
        <v>1</v>
      </c>
      <c r="B353" s="535" t="s">
        <v>627</v>
      </c>
      <c r="C353" s="536">
        <v>0.91</v>
      </c>
      <c r="D353" s="537">
        <f>$D$352*C353</f>
        <v>7627210.5</v>
      </c>
      <c r="E353" s="657">
        <f>G353+H353</f>
        <v>7627210.509999999</v>
      </c>
      <c r="F353" s="658">
        <f t="shared" si="53"/>
        <v>1.0000000013110952</v>
      </c>
      <c r="G353" s="540">
        <f>+G354+G359+G360+G361</f>
        <v>6437365.669999999</v>
      </c>
      <c r="H353" s="540">
        <f>+H354+H359+H360+H361</f>
        <v>1189844.8399999999</v>
      </c>
      <c r="I353" s="541">
        <f t="shared" si="51"/>
        <v>0.15600000026221905</v>
      </c>
      <c r="J353" s="542" t="s">
        <v>865</v>
      </c>
    </row>
    <row r="354" spans="1:10" ht="45">
      <c r="A354" s="551" t="s">
        <v>10</v>
      </c>
      <c r="B354" s="552" t="s">
        <v>628</v>
      </c>
      <c r="C354" s="656">
        <v>0.8</v>
      </c>
      <c r="D354" s="637">
        <v>6101768.4</v>
      </c>
      <c r="E354" s="659">
        <f>+E355+E356+E357+E358+0.01</f>
        <v>6101768.41</v>
      </c>
      <c r="F354" s="660">
        <f t="shared" si="53"/>
        <v>1.000000001638869</v>
      </c>
      <c r="G354" s="531">
        <f>SUM(G355:G358)+0.01</f>
        <v>5369556.199999999</v>
      </c>
      <c r="H354" s="531">
        <f>SUM(H355:H358)</f>
        <v>732212.21</v>
      </c>
      <c r="I354" s="550">
        <f t="shared" si="51"/>
        <v>0.12000000032777382</v>
      </c>
      <c r="J354" s="533" t="s">
        <v>865</v>
      </c>
    </row>
    <row r="355" spans="1:10" ht="60">
      <c r="A355" s="593" t="s">
        <v>12</v>
      </c>
      <c r="B355" s="594" t="s">
        <v>629</v>
      </c>
      <c r="C355" s="661">
        <v>0.2</v>
      </c>
      <c r="D355" s="579">
        <v>1220353.6800000002</v>
      </c>
      <c r="E355" s="662">
        <f aca="true" t="shared" si="61" ref="E355:E358">+G355+H355</f>
        <v>1220353.68</v>
      </c>
      <c r="F355" s="663">
        <f t="shared" si="53"/>
        <v>0.9999999999999998</v>
      </c>
      <c r="G355" s="561">
        <v>1220353.68</v>
      </c>
      <c r="H355" s="561">
        <v>0</v>
      </c>
      <c r="I355" s="563">
        <f t="shared" si="51"/>
        <v>0</v>
      </c>
      <c r="J355" s="564" t="s">
        <v>865</v>
      </c>
    </row>
    <row r="356" spans="1:10" ht="45">
      <c r="A356" s="593" t="s">
        <v>14</v>
      </c>
      <c r="B356" s="594" t="s">
        <v>630</v>
      </c>
      <c r="C356" s="661">
        <v>0.1</v>
      </c>
      <c r="D356" s="579">
        <v>610176.8400000001</v>
      </c>
      <c r="E356" s="662">
        <f t="shared" si="61"/>
        <v>610176.84</v>
      </c>
      <c r="F356" s="663">
        <f t="shared" si="53"/>
        <v>0.9999999999999998</v>
      </c>
      <c r="G356" s="561">
        <v>610176.84</v>
      </c>
      <c r="H356" s="561">
        <v>0</v>
      </c>
      <c r="I356" s="563">
        <f t="shared" si="51"/>
        <v>0</v>
      </c>
      <c r="J356" s="564" t="s">
        <v>865</v>
      </c>
    </row>
    <row r="357" spans="1:10" ht="75">
      <c r="A357" s="593" t="s">
        <v>16</v>
      </c>
      <c r="B357" s="594" t="s">
        <v>631</v>
      </c>
      <c r="C357" s="661">
        <v>0.6</v>
      </c>
      <c r="D357" s="579">
        <v>3661061.04</v>
      </c>
      <c r="E357" s="662">
        <f t="shared" si="61"/>
        <v>3661061.04</v>
      </c>
      <c r="F357" s="663">
        <f t="shared" si="53"/>
        <v>1</v>
      </c>
      <c r="G357" s="561">
        <v>2928848.83</v>
      </c>
      <c r="H357" s="561">
        <v>732212.21</v>
      </c>
      <c r="I357" s="563">
        <f t="shared" si="51"/>
        <v>0.2000000005462897</v>
      </c>
      <c r="J357" s="564" t="s">
        <v>865</v>
      </c>
    </row>
    <row r="358" spans="1:10" ht="45">
      <c r="A358" s="593" t="s">
        <v>18</v>
      </c>
      <c r="B358" s="594" t="s">
        <v>632</v>
      </c>
      <c r="C358" s="661">
        <v>0.1</v>
      </c>
      <c r="D358" s="579">
        <v>610176.8400000001</v>
      </c>
      <c r="E358" s="662">
        <f t="shared" si="61"/>
        <v>610176.84</v>
      </c>
      <c r="F358" s="663">
        <f t="shared" si="53"/>
        <v>0.9999999999999998</v>
      </c>
      <c r="G358" s="561">
        <v>610176.84</v>
      </c>
      <c r="H358" s="561">
        <v>0</v>
      </c>
      <c r="I358" s="563">
        <f t="shared" si="51"/>
        <v>0</v>
      </c>
      <c r="J358" s="564" t="s">
        <v>865</v>
      </c>
    </row>
    <row r="359" spans="1:10" ht="60">
      <c r="A359" s="551" t="s">
        <v>20</v>
      </c>
      <c r="B359" s="552" t="s">
        <v>633</v>
      </c>
      <c r="C359" s="656">
        <v>0.12</v>
      </c>
      <c r="D359" s="637">
        <v>915265.26</v>
      </c>
      <c r="E359" s="615">
        <f aca="true" t="shared" si="62" ref="E359:E361">G359+H359</f>
        <v>915265.26</v>
      </c>
      <c r="F359" s="653">
        <f t="shared" si="53"/>
        <v>1</v>
      </c>
      <c r="G359" s="531">
        <v>640685.68</v>
      </c>
      <c r="H359" s="654">
        <v>274579.58</v>
      </c>
      <c r="I359" s="532">
        <f t="shared" si="51"/>
        <v>0.3000000021851589</v>
      </c>
      <c r="J359" s="533" t="s">
        <v>865</v>
      </c>
    </row>
    <row r="360" spans="1:10" ht="45">
      <c r="A360" s="551" t="s">
        <v>87</v>
      </c>
      <c r="B360" s="552" t="s">
        <v>634</v>
      </c>
      <c r="C360" s="656">
        <v>0.03</v>
      </c>
      <c r="D360" s="637">
        <v>228816.32</v>
      </c>
      <c r="E360" s="615">
        <f t="shared" si="62"/>
        <v>228816.31</v>
      </c>
      <c r="F360" s="653">
        <f t="shared" si="53"/>
        <v>0.9999999562968236</v>
      </c>
      <c r="G360" s="531">
        <v>160171.42</v>
      </c>
      <c r="H360" s="654">
        <v>68644.89</v>
      </c>
      <c r="I360" s="532">
        <f t="shared" si="51"/>
        <v>0.2999999737780941</v>
      </c>
      <c r="J360" s="533" t="s">
        <v>865</v>
      </c>
    </row>
    <row r="361" spans="1:10" ht="30">
      <c r="A361" s="551" t="s">
        <v>89</v>
      </c>
      <c r="B361" s="552" t="s">
        <v>635</v>
      </c>
      <c r="C361" s="656">
        <v>0.05</v>
      </c>
      <c r="D361" s="637">
        <v>381360.52</v>
      </c>
      <c r="E361" s="615">
        <f t="shared" si="62"/>
        <v>381360.53</v>
      </c>
      <c r="F361" s="653">
        <f t="shared" si="53"/>
        <v>1.0000000262219069</v>
      </c>
      <c r="G361" s="531">
        <v>266952.37</v>
      </c>
      <c r="H361" s="654">
        <v>114408.16</v>
      </c>
      <c r="I361" s="532">
        <f t="shared" si="51"/>
        <v>0.3000000104887627</v>
      </c>
      <c r="J361" s="533" t="s">
        <v>865</v>
      </c>
    </row>
    <row r="362" spans="1:10" ht="60">
      <c r="A362" s="534">
        <v>2</v>
      </c>
      <c r="B362" s="535" t="s">
        <v>891</v>
      </c>
      <c r="C362" s="536">
        <v>0.06</v>
      </c>
      <c r="D362" s="537">
        <f>$D$352*C362</f>
        <v>502893</v>
      </c>
      <c r="E362" s="657">
        <f>SUM(E363,E366,E372,E379)</f>
        <v>502893</v>
      </c>
      <c r="F362" s="539">
        <f t="shared" si="53"/>
        <v>1</v>
      </c>
      <c r="G362" s="540">
        <f>SUM(G363,G366,G372,G379)</f>
        <v>412511.12</v>
      </c>
      <c r="H362" s="540">
        <f>+H363+H366+H372+H379</f>
        <v>90381.88</v>
      </c>
      <c r="I362" s="541">
        <f t="shared" si="51"/>
        <v>0.1797238776439521</v>
      </c>
      <c r="J362" s="542" t="s">
        <v>865</v>
      </c>
    </row>
    <row r="363" spans="1:10" ht="15.75">
      <c r="A363" s="551" t="s">
        <v>62</v>
      </c>
      <c r="B363" s="552" t="s">
        <v>637</v>
      </c>
      <c r="C363" s="553">
        <v>0.44</v>
      </c>
      <c r="D363" s="554">
        <f>+D364+D365</f>
        <v>221272.91999999998</v>
      </c>
      <c r="E363" s="659">
        <f aca="true" t="shared" si="63" ref="E363:E367">G363+H363</f>
        <v>221272.92</v>
      </c>
      <c r="F363" s="530">
        <f t="shared" si="53"/>
        <v>1.0000000000000002</v>
      </c>
      <c r="G363" s="531">
        <f>+G364+G365</f>
        <v>154891.04</v>
      </c>
      <c r="H363" s="531">
        <f>+H364+H365</f>
        <v>66381.88</v>
      </c>
      <c r="I363" s="550">
        <f t="shared" si="51"/>
        <v>0.30000001807722343</v>
      </c>
      <c r="J363" s="533" t="s">
        <v>865</v>
      </c>
    </row>
    <row r="364" spans="1:10" ht="30">
      <c r="A364" s="593" t="s">
        <v>408</v>
      </c>
      <c r="B364" s="594" t="s">
        <v>638</v>
      </c>
      <c r="C364" s="661">
        <v>0.818</v>
      </c>
      <c r="D364" s="579">
        <v>181000</v>
      </c>
      <c r="E364" s="662">
        <f t="shared" si="63"/>
        <v>181000</v>
      </c>
      <c r="F364" s="560">
        <f t="shared" si="53"/>
        <v>1</v>
      </c>
      <c r="G364" s="561">
        <v>126700</v>
      </c>
      <c r="H364" s="561">
        <v>54300</v>
      </c>
      <c r="I364" s="563">
        <f t="shared" si="51"/>
        <v>0.3</v>
      </c>
      <c r="J364" s="564" t="s">
        <v>865</v>
      </c>
    </row>
    <row r="365" spans="1:10" ht="60">
      <c r="A365" s="593" t="s">
        <v>410</v>
      </c>
      <c r="B365" s="594" t="s">
        <v>639</v>
      </c>
      <c r="C365" s="661">
        <v>0.182</v>
      </c>
      <c r="D365" s="579">
        <v>40272.92</v>
      </c>
      <c r="E365" s="662">
        <f t="shared" si="63"/>
        <v>40272.92</v>
      </c>
      <c r="F365" s="560">
        <f t="shared" si="53"/>
        <v>1</v>
      </c>
      <c r="G365" s="561">
        <v>28191.04</v>
      </c>
      <c r="H365" s="561">
        <v>12081.88</v>
      </c>
      <c r="I365" s="563">
        <f t="shared" si="51"/>
        <v>0.3000000993223238</v>
      </c>
      <c r="J365" s="564" t="s">
        <v>865</v>
      </c>
    </row>
    <row r="366" spans="1:10" ht="30">
      <c r="A366" s="551" t="s">
        <v>64</v>
      </c>
      <c r="B366" s="552" t="s">
        <v>892</v>
      </c>
      <c r="C366" s="553">
        <v>0.22</v>
      </c>
      <c r="D366" s="554">
        <f>+D367+D368</f>
        <v>109620.08</v>
      </c>
      <c r="E366" s="659">
        <f t="shared" si="63"/>
        <v>109620.08</v>
      </c>
      <c r="F366" s="530">
        <f t="shared" si="53"/>
        <v>1</v>
      </c>
      <c r="G366" s="531">
        <f>+G367+G368</f>
        <v>109620.08</v>
      </c>
      <c r="H366" s="531">
        <f>+H367+H368</f>
        <v>0</v>
      </c>
      <c r="I366" s="550">
        <f t="shared" si="51"/>
        <v>0</v>
      </c>
      <c r="J366" s="533" t="s">
        <v>865</v>
      </c>
    </row>
    <row r="367" spans="1:10" ht="15.75">
      <c r="A367" s="593" t="s">
        <v>132</v>
      </c>
      <c r="B367" s="594" t="s">
        <v>641</v>
      </c>
      <c r="C367" s="661">
        <v>0.038</v>
      </c>
      <c r="D367" s="579">
        <v>6620.08</v>
      </c>
      <c r="E367" s="662">
        <f t="shared" si="63"/>
        <v>6620.08</v>
      </c>
      <c r="F367" s="560">
        <f t="shared" si="53"/>
        <v>1</v>
      </c>
      <c r="G367" s="561">
        <v>6620.08</v>
      </c>
      <c r="H367" s="561">
        <v>0</v>
      </c>
      <c r="I367" s="563">
        <f t="shared" si="51"/>
        <v>0</v>
      </c>
      <c r="J367" s="564" t="s">
        <v>865</v>
      </c>
    </row>
    <row r="368" spans="1:10" ht="15.75">
      <c r="A368" s="593" t="s">
        <v>134</v>
      </c>
      <c r="B368" s="594" t="s">
        <v>642</v>
      </c>
      <c r="C368" s="661">
        <v>0.3848</v>
      </c>
      <c r="D368" s="579">
        <f>SUM(D369:D371)</f>
        <v>103000</v>
      </c>
      <c r="E368" s="662">
        <f>SUM(E369:E371)</f>
        <v>103000</v>
      </c>
      <c r="F368" s="560">
        <f t="shared" si="53"/>
        <v>1</v>
      </c>
      <c r="G368" s="561">
        <f>SUM(G369:G371)</f>
        <v>103000</v>
      </c>
      <c r="H368" s="561">
        <f>SUM(H369:H371)</f>
        <v>0</v>
      </c>
      <c r="I368" s="563">
        <f t="shared" si="51"/>
        <v>0</v>
      </c>
      <c r="J368" s="564" t="s">
        <v>865</v>
      </c>
    </row>
    <row r="369" spans="1:10" ht="15.75">
      <c r="A369" s="619" t="s">
        <v>529</v>
      </c>
      <c r="B369" s="620" t="s">
        <v>643</v>
      </c>
      <c r="C369" s="664">
        <v>0.0896</v>
      </c>
      <c r="D369" s="585">
        <v>8000</v>
      </c>
      <c r="E369" s="665">
        <f aca="true" t="shared" si="64" ref="E369:E371">G369+H369</f>
        <v>8000</v>
      </c>
      <c r="F369" s="623">
        <f t="shared" si="53"/>
        <v>1</v>
      </c>
      <c r="G369" s="588">
        <v>8000</v>
      </c>
      <c r="H369" s="588">
        <v>0</v>
      </c>
      <c r="I369" s="624">
        <f t="shared" si="51"/>
        <v>0</v>
      </c>
      <c r="J369" s="590" t="s">
        <v>865</v>
      </c>
    </row>
    <row r="370" spans="1:10" ht="15.75">
      <c r="A370" s="619" t="s">
        <v>530</v>
      </c>
      <c r="B370" s="620" t="s">
        <v>644</v>
      </c>
      <c r="C370" s="664">
        <v>0.3134</v>
      </c>
      <c r="D370" s="585">
        <v>35000</v>
      </c>
      <c r="E370" s="665">
        <f t="shared" si="64"/>
        <v>35000</v>
      </c>
      <c r="F370" s="623">
        <f t="shared" si="53"/>
        <v>1</v>
      </c>
      <c r="G370" s="588">
        <v>35000</v>
      </c>
      <c r="H370" s="588">
        <v>0</v>
      </c>
      <c r="I370" s="624">
        <f t="shared" si="51"/>
        <v>0</v>
      </c>
      <c r="J370" s="590" t="s">
        <v>865</v>
      </c>
    </row>
    <row r="371" spans="1:10" ht="15.75">
      <c r="A371" s="619" t="s">
        <v>532</v>
      </c>
      <c r="B371" s="620" t="s">
        <v>645</v>
      </c>
      <c r="C371" s="664">
        <v>0.597</v>
      </c>
      <c r="D371" s="585">
        <v>60000</v>
      </c>
      <c r="E371" s="665">
        <f t="shared" si="64"/>
        <v>60000</v>
      </c>
      <c r="F371" s="623">
        <f t="shared" si="53"/>
        <v>1</v>
      </c>
      <c r="G371" s="588">
        <v>60000</v>
      </c>
      <c r="H371" s="588">
        <v>0</v>
      </c>
      <c r="I371" s="624">
        <f t="shared" si="51"/>
        <v>0</v>
      </c>
      <c r="J371" s="590" t="s">
        <v>865</v>
      </c>
    </row>
    <row r="372" spans="1:10" ht="15.75">
      <c r="A372" s="551" t="s">
        <v>66</v>
      </c>
      <c r="B372" s="552" t="s">
        <v>893</v>
      </c>
      <c r="C372" s="553">
        <v>0.33</v>
      </c>
      <c r="D372" s="554">
        <f>+D373+D374+D375+D376+D377+D378</f>
        <v>165000</v>
      </c>
      <c r="E372" s="659">
        <f>SUM(E373:E378)</f>
        <v>165000</v>
      </c>
      <c r="F372" s="530">
        <f t="shared" si="53"/>
        <v>1</v>
      </c>
      <c r="G372" s="531">
        <f>SUM(G373:G378)</f>
        <v>148000</v>
      </c>
      <c r="H372" s="531">
        <f>SUM(H373:H378)</f>
        <v>17000</v>
      </c>
      <c r="I372" s="550">
        <f t="shared" si="51"/>
        <v>0.10303030303030303</v>
      </c>
      <c r="J372" s="533" t="s">
        <v>865</v>
      </c>
    </row>
    <row r="373" spans="1:10" ht="30">
      <c r="A373" s="555" t="s">
        <v>137</v>
      </c>
      <c r="B373" s="666" t="s">
        <v>647</v>
      </c>
      <c r="C373" s="661">
        <v>0.398</v>
      </c>
      <c r="D373" s="667">
        <v>65000</v>
      </c>
      <c r="E373" s="662">
        <f aca="true" t="shared" si="65" ref="E373:E379">G373+H373</f>
        <v>65000</v>
      </c>
      <c r="F373" s="560">
        <f t="shared" si="53"/>
        <v>1</v>
      </c>
      <c r="G373" s="561">
        <v>65000</v>
      </c>
      <c r="H373" s="561">
        <v>0</v>
      </c>
      <c r="I373" s="563">
        <f t="shared" si="51"/>
        <v>0</v>
      </c>
      <c r="J373" s="564" t="s">
        <v>865</v>
      </c>
    </row>
    <row r="374" spans="1:10" ht="45">
      <c r="A374" s="555" t="s">
        <v>139</v>
      </c>
      <c r="B374" s="666" t="s">
        <v>648</v>
      </c>
      <c r="C374" s="661">
        <v>0.1818</v>
      </c>
      <c r="D374" s="667">
        <v>30000</v>
      </c>
      <c r="E374" s="662">
        <f t="shared" si="65"/>
        <v>30000</v>
      </c>
      <c r="F374" s="560">
        <f t="shared" si="53"/>
        <v>1</v>
      </c>
      <c r="G374" s="561">
        <v>30000</v>
      </c>
      <c r="H374" s="561">
        <v>0</v>
      </c>
      <c r="I374" s="563">
        <f t="shared" si="51"/>
        <v>0</v>
      </c>
      <c r="J374" s="564" t="s">
        <v>865</v>
      </c>
    </row>
    <row r="375" spans="1:10" ht="30">
      <c r="A375" s="555" t="s">
        <v>422</v>
      </c>
      <c r="B375" s="666" t="s">
        <v>649</v>
      </c>
      <c r="C375" s="661">
        <v>0.2727</v>
      </c>
      <c r="D375" s="667">
        <v>45000</v>
      </c>
      <c r="E375" s="662">
        <f t="shared" si="65"/>
        <v>45000</v>
      </c>
      <c r="F375" s="560">
        <f t="shared" si="53"/>
        <v>1</v>
      </c>
      <c r="G375" s="561">
        <v>45000</v>
      </c>
      <c r="H375" s="561">
        <v>0</v>
      </c>
      <c r="I375" s="563">
        <f t="shared" si="51"/>
        <v>0</v>
      </c>
      <c r="J375" s="564" t="s">
        <v>865</v>
      </c>
    </row>
    <row r="376" spans="1:10" ht="30">
      <c r="A376" s="555" t="s">
        <v>545</v>
      </c>
      <c r="B376" s="666" t="s">
        <v>650</v>
      </c>
      <c r="C376" s="661">
        <v>0.0455</v>
      </c>
      <c r="D376" s="667">
        <v>7500</v>
      </c>
      <c r="E376" s="662">
        <f t="shared" si="65"/>
        <v>7500</v>
      </c>
      <c r="F376" s="560">
        <f t="shared" si="53"/>
        <v>1</v>
      </c>
      <c r="G376" s="561">
        <v>0</v>
      </c>
      <c r="H376" s="561">
        <v>7500</v>
      </c>
      <c r="I376" s="563">
        <f t="shared" si="51"/>
        <v>1</v>
      </c>
      <c r="J376" s="564" t="s">
        <v>865</v>
      </c>
    </row>
    <row r="377" spans="1:10" ht="30">
      <c r="A377" s="555" t="s">
        <v>547</v>
      </c>
      <c r="B377" s="666" t="s">
        <v>651</v>
      </c>
      <c r="C377" s="661">
        <v>0.0485</v>
      </c>
      <c r="D377" s="667">
        <v>8000</v>
      </c>
      <c r="E377" s="662">
        <f t="shared" si="65"/>
        <v>8000</v>
      </c>
      <c r="F377" s="560">
        <f t="shared" si="53"/>
        <v>1</v>
      </c>
      <c r="G377" s="561">
        <v>8000</v>
      </c>
      <c r="H377" s="561">
        <v>0</v>
      </c>
      <c r="I377" s="563">
        <f t="shared" si="51"/>
        <v>0</v>
      </c>
      <c r="J377" s="564" t="s">
        <v>865</v>
      </c>
    </row>
    <row r="378" spans="1:10" ht="60">
      <c r="A378" s="555" t="s">
        <v>549</v>
      </c>
      <c r="B378" s="666" t="s">
        <v>652</v>
      </c>
      <c r="C378" s="661">
        <v>0.0576</v>
      </c>
      <c r="D378" s="667">
        <v>9500</v>
      </c>
      <c r="E378" s="662">
        <f t="shared" si="65"/>
        <v>9500</v>
      </c>
      <c r="F378" s="560">
        <f t="shared" si="53"/>
        <v>1</v>
      </c>
      <c r="G378" s="561">
        <v>0</v>
      </c>
      <c r="H378" s="561">
        <v>9500</v>
      </c>
      <c r="I378" s="563">
        <f t="shared" si="51"/>
        <v>1</v>
      </c>
      <c r="J378" s="564" t="s">
        <v>865</v>
      </c>
    </row>
    <row r="379" spans="1:10" ht="45">
      <c r="A379" s="551" t="s">
        <v>68</v>
      </c>
      <c r="B379" s="552" t="s">
        <v>894</v>
      </c>
      <c r="C379" s="553">
        <v>0.01</v>
      </c>
      <c r="D379" s="554">
        <v>7000</v>
      </c>
      <c r="E379" s="659">
        <f t="shared" si="65"/>
        <v>7000</v>
      </c>
      <c r="F379" s="530">
        <f t="shared" si="53"/>
        <v>1</v>
      </c>
      <c r="G379" s="531">
        <v>0</v>
      </c>
      <c r="H379" s="531">
        <v>7000</v>
      </c>
      <c r="I379" s="550">
        <f t="shared" si="51"/>
        <v>1</v>
      </c>
      <c r="J379" s="533" t="s">
        <v>865</v>
      </c>
    </row>
    <row r="380" spans="1:10" ht="45">
      <c r="A380" s="534">
        <v>3</v>
      </c>
      <c r="B380" s="535" t="s">
        <v>654</v>
      </c>
      <c r="C380" s="536">
        <v>0.03</v>
      </c>
      <c r="D380" s="537">
        <f>$D$352*C380</f>
        <v>251446.5</v>
      </c>
      <c r="E380" s="657">
        <f>SUM(E381,E384)</f>
        <v>251446.5</v>
      </c>
      <c r="F380" s="539">
        <f t="shared" si="53"/>
        <v>1</v>
      </c>
      <c r="G380" s="540">
        <f>SUM(G381,G384)</f>
        <v>241446.5</v>
      </c>
      <c r="H380" s="540">
        <f>SUM(H381,H384)</f>
        <v>10000</v>
      </c>
      <c r="I380" s="541">
        <f t="shared" si="51"/>
        <v>0.03976989140831151</v>
      </c>
      <c r="J380" s="542" t="s">
        <v>865</v>
      </c>
    </row>
    <row r="381" spans="1:10" ht="30">
      <c r="A381" s="551" t="s">
        <v>71</v>
      </c>
      <c r="B381" s="552" t="s">
        <v>655</v>
      </c>
      <c r="C381" s="656">
        <v>1</v>
      </c>
      <c r="D381" s="636">
        <v>251446.5</v>
      </c>
      <c r="E381" s="659">
        <f>SUM(E382:E383)</f>
        <v>201446.5</v>
      </c>
      <c r="F381" s="530">
        <f t="shared" si="53"/>
        <v>0.8011505429584425</v>
      </c>
      <c r="G381" s="531">
        <f>SUM(G382:G383)</f>
        <v>201446.5</v>
      </c>
      <c r="H381" s="531">
        <f>SUM(H382:H383)</f>
        <v>0</v>
      </c>
      <c r="I381" s="550">
        <f t="shared" si="51"/>
        <v>0</v>
      </c>
      <c r="J381" s="533" t="s">
        <v>865</v>
      </c>
    </row>
    <row r="382" spans="1:10" ht="45">
      <c r="A382" s="593" t="s">
        <v>656</v>
      </c>
      <c r="B382" s="594" t="s">
        <v>657</v>
      </c>
      <c r="C382" s="661">
        <v>0.4</v>
      </c>
      <c r="D382" s="668">
        <f>100578.6-25000</f>
        <v>75578.6</v>
      </c>
      <c r="E382" s="662">
        <f aca="true" t="shared" si="66" ref="E382:E384">G382+H382</f>
        <v>75578.6</v>
      </c>
      <c r="F382" s="560">
        <f t="shared" si="53"/>
        <v>1</v>
      </c>
      <c r="G382" s="561">
        <v>75578.6</v>
      </c>
      <c r="H382" s="561">
        <v>0</v>
      </c>
      <c r="I382" s="563">
        <f t="shared" si="51"/>
        <v>0</v>
      </c>
      <c r="J382" s="564" t="s">
        <v>865</v>
      </c>
    </row>
    <row r="383" spans="1:10" ht="30">
      <c r="A383" s="593" t="s">
        <v>658</v>
      </c>
      <c r="B383" s="594" t="s">
        <v>659</v>
      </c>
      <c r="C383" s="661">
        <v>0.6</v>
      </c>
      <c r="D383" s="668">
        <f>150867.9-25000</f>
        <v>125867.9</v>
      </c>
      <c r="E383" s="662">
        <f t="shared" si="66"/>
        <v>125867.9</v>
      </c>
      <c r="F383" s="560">
        <f t="shared" si="53"/>
        <v>1</v>
      </c>
      <c r="G383" s="561">
        <v>125867.9</v>
      </c>
      <c r="H383" s="561">
        <v>0</v>
      </c>
      <c r="I383" s="563">
        <f t="shared" si="51"/>
        <v>0</v>
      </c>
      <c r="J383" s="564" t="s">
        <v>865</v>
      </c>
    </row>
    <row r="384" spans="1:10" ht="45">
      <c r="A384" s="551" t="s">
        <v>73</v>
      </c>
      <c r="B384" s="552" t="s">
        <v>660</v>
      </c>
      <c r="C384" s="656">
        <f>+D384/D381</f>
        <v>0.19884945704155754</v>
      </c>
      <c r="D384" s="636">
        <v>50000</v>
      </c>
      <c r="E384" s="659">
        <f t="shared" si="66"/>
        <v>50000</v>
      </c>
      <c r="F384" s="530">
        <f t="shared" si="53"/>
        <v>1</v>
      </c>
      <c r="G384" s="531">
        <v>40000</v>
      </c>
      <c r="H384" s="531">
        <v>10000</v>
      </c>
      <c r="I384" s="550">
        <f t="shared" si="51"/>
        <v>0.2</v>
      </c>
      <c r="J384" s="533" t="s">
        <v>865</v>
      </c>
    </row>
    <row r="385" spans="1:10" ht="31.5">
      <c r="A385" s="605" t="s">
        <v>661</v>
      </c>
      <c r="B385" s="606" t="s">
        <v>835</v>
      </c>
      <c r="C385" s="655" t="s">
        <v>663</v>
      </c>
      <c r="D385" s="608">
        <f>D1*5%</f>
        <v>1967500</v>
      </c>
      <c r="E385" s="609">
        <f>SUM(E386,E389,E392,E395)</f>
        <v>1967500</v>
      </c>
      <c r="F385" s="610">
        <f t="shared" si="53"/>
        <v>1</v>
      </c>
      <c r="G385" s="611">
        <f>SUM(G386,G389,G392,G395)</f>
        <v>1437652.1</v>
      </c>
      <c r="H385" s="611">
        <f>SUM(H386,H389,H392,H395)</f>
        <v>529847.9</v>
      </c>
      <c r="I385" s="612">
        <f t="shared" si="51"/>
        <v>0.26930007623888186</v>
      </c>
      <c r="J385" s="613" t="s">
        <v>865</v>
      </c>
    </row>
    <row r="386" spans="1:10" ht="45">
      <c r="A386" s="568">
        <v>1</v>
      </c>
      <c r="B386" s="669" t="s">
        <v>664</v>
      </c>
      <c r="C386" s="670">
        <v>0.1</v>
      </c>
      <c r="D386" s="643">
        <v>196750</v>
      </c>
      <c r="E386" s="657">
        <f>SUM(E387:E388)</f>
        <v>196750</v>
      </c>
      <c r="F386" s="539">
        <f t="shared" si="53"/>
        <v>1</v>
      </c>
      <c r="G386" s="540">
        <f>SUM(G387:G388)</f>
        <v>143627.5</v>
      </c>
      <c r="H386" s="540">
        <f>SUM(H387:H388)</f>
        <v>53122.5</v>
      </c>
      <c r="I386" s="541">
        <f t="shared" si="51"/>
        <v>0.27</v>
      </c>
      <c r="J386" s="542" t="s">
        <v>865</v>
      </c>
    </row>
    <row r="387" spans="1:10" ht="15.75">
      <c r="A387" s="551" t="s">
        <v>10</v>
      </c>
      <c r="B387" s="552" t="s">
        <v>665</v>
      </c>
      <c r="C387" s="656">
        <v>0.1</v>
      </c>
      <c r="D387" s="637">
        <v>19675</v>
      </c>
      <c r="E387" s="659">
        <f aca="true" t="shared" si="67" ref="E387:E388">G387+H387</f>
        <v>19675</v>
      </c>
      <c r="F387" s="530">
        <f t="shared" si="53"/>
        <v>1</v>
      </c>
      <c r="G387" s="531">
        <v>19675</v>
      </c>
      <c r="H387" s="531">
        <v>0</v>
      </c>
      <c r="I387" s="550">
        <f t="shared" si="51"/>
        <v>0</v>
      </c>
      <c r="J387" s="533" t="s">
        <v>865</v>
      </c>
    </row>
    <row r="388" spans="1:10" ht="15.75">
      <c r="A388" s="551" t="s">
        <v>20</v>
      </c>
      <c r="B388" s="552" t="s">
        <v>666</v>
      </c>
      <c r="C388" s="656">
        <v>0.9</v>
      </c>
      <c r="D388" s="637">
        <v>177075</v>
      </c>
      <c r="E388" s="659">
        <f t="shared" si="67"/>
        <v>177075</v>
      </c>
      <c r="F388" s="530">
        <f t="shared" si="53"/>
        <v>1</v>
      </c>
      <c r="G388" s="531">
        <v>123952.5</v>
      </c>
      <c r="H388" s="531">
        <v>53122.5</v>
      </c>
      <c r="I388" s="550">
        <f t="shared" si="51"/>
        <v>0.3</v>
      </c>
      <c r="J388" s="533" t="s">
        <v>865</v>
      </c>
    </row>
    <row r="389" spans="1:10" ht="45">
      <c r="A389" s="568">
        <v>2</v>
      </c>
      <c r="B389" s="669" t="s">
        <v>667</v>
      </c>
      <c r="C389" s="670">
        <v>0.15</v>
      </c>
      <c r="D389" s="643">
        <v>295125</v>
      </c>
      <c r="E389" s="657">
        <f>SUM(E390:E391)</f>
        <v>295125</v>
      </c>
      <c r="F389" s="539">
        <f t="shared" si="53"/>
        <v>1</v>
      </c>
      <c r="G389" s="540">
        <f>SUM(G390:G391)</f>
        <v>215441.1</v>
      </c>
      <c r="H389" s="540">
        <f>SUM(H390:H391)</f>
        <v>79683.9</v>
      </c>
      <c r="I389" s="541">
        <f t="shared" si="51"/>
        <v>0.2700005082592122</v>
      </c>
      <c r="J389" s="542" t="s">
        <v>865</v>
      </c>
    </row>
    <row r="390" spans="1:10" ht="15.75">
      <c r="A390" s="551" t="s">
        <v>62</v>
      </c>
      <c r="B390" s="552" t="s">
        <v>665</v>
      </c>
      <c r="C390" s="656">
        <v>0.1</v>
      </c>
      <c r="D390" s="637">
        <v>29512</v>
      </c>
      <c r="E390" s="659">
        <f aca="true" t="shared" si="68" ref="E390:E391">G390+H390</f>
        <v>29512</v>
      </c>
      <c r="F390" s="530">
        <f t="shared" si="53"/>
        <v>1</v>
      </c>
      <c r="G390" s="531">
        <v>29512</v>
      </c>
      <c r="H390" s="531">
        <v>0</v>
      </c>
      <c r="I390" s="550">
        <f t="shared" si="51"/>
        <v>0</v>
      </c>
      <c r="J390" s="533" t="s">
        <v>865</v>
      </c>
    </row>
    <row r="391" spans="1:10" ht="15.75">
      <c r="A391" s="551" t="s">
        <v>64</v>
      </c>
      <c r="B391" s="552" t="s">
        <v>666</v>
      </c>
      <c r="C391" s="656">
        <v>0.9</v>
      </c>
      <c r="D391" s="637">
        <v>265613</v>
      </c>
      <c r="E391" s="659">
        <f t="shared" si="68"/>
        <v>265613</v>
      </c>
      <c r="F391" s="530">
        <f t="shared" si="53"/>
        <v>1</v>
      </c>
      <c r="G391" s="531">
        <v>185929.1</v>
      </c>
      <c r="H391" s="531">
        <v>79683.9</v>
      </c>
      <c r="I391" s="550">
        <f t="shared" si="51"/>
        <v>0.3</v>
      </c>
      <c r="J391" s="533" t="s">
        <v>865</v>
      </c>
    </row>
    <row r="392" spans="1:10" ht="60">
      <c r="A392" s="568">
        <v>3</v>
      </c>
      <c r="B392" s="669" t="s">
        <v>668</v>
      </c>
      <c r="C392" s="670">
        <v>0.74</v>
      </c>
      <c r="D392" s="643">
        <v>1455950</v>
      </c>
      <c r="E392" s="657">
        <f>+E393+E394</f>
        <v>1455950</v>
      </c>
      <c r="F392" s="539">
        <f t="shared" si="53"/>
        <v>1</v>
      </c>
      <c r="G392" s="540">
        <f>SUM(G393:G394)</f>
        <v>1062843.5</v>
      </c>
      <c r="H392" s="540">
        <f>SUM(H393:H394)</f>
        <v>393106.5</v>
      </c>
      <c r="I392" s="541">
        <f t="shared" si="51"/>
        <v>0.27</v>
      </c>
      <c r="J392" s="542" t="s">
        <v>865</v>
      </c>
    </row>
    <row r="393" spans="1:10" ht="15.75">
      <c r="A393" s="544" t="s">
        <v>71</v>
      </c>
      <c r="B393" s="552" t="s">
        <v>669</v>
      </c>
      <c r="C393" s="656">
        <v>0.1</v>
      </c>
      <c r="D393" s="637">
        <v>145595</v>
      </c>
      <c r="E393" s="659">
        <f aca="true" t="shared" si="69" ref="E393:E398">G393+H393</f>
        <v>145595</v>
      </c>
      <c r="F393" s="530">
        <f t="shared" si="53"/>
        <v>1</v>
      </c>
      <c r="G393" s="531">
        <v>145595</v>
      </c>
      <c r="H393" s="531">
        <v>0</v>
      </c>
      <c r="I393" s="550">
        <f t="shared" si="51"/>
        <v>0</v>
      </c>
      <c r="J393" s="533" t="s">
        <v>865</v>
      </c>
    </row>
    <row r="394" spans="1:10" ht="45">
      <c r="A394" s="544" t="s">
        <v>73</v>
      </c>
      <c r="B394" s="552" t="s">
        <v>670</v>
      </c>
      <c r="C394" s="656">
        <v>0.9</v>
      </c>
      <c r="D394" s="637">
        <v>1310355</v>
      </c>
      <c r="E394" s="659">
        <f t="shared" si="69"/>
        <v>1310355</v>
      </c>
      <c r="F394" s="530">
        <f t="shared" si="53"/>
        <v>1</v>
      </c>
      <c r="G394" s="531">
        <v>917248.5</v>
      </c>
      <c r="H394" s="531">
        <v>393106.5</v>
      </c>
      <c r="I394" s="550">
        <f t="shared" si="51"/>
        <v>0.3</v>
      </c>
      <c r="J394" s="533" t="s">
        <v>865</v>
      </c>
    </row>
    <row r="395" spans="1:10" ht="45">
      <c r="A395" s="568">
        <v>4</v>
      </c>
      <c r="B395" s="669" t="s">
        <v>671</v>
      </c>
      <c r="C395" s="670">
        <v>0.01</v>
      </c>
      <c r="D395" s="643">
        <v>19675</v>
      </c>
      <c r="E395" s="657">
        <f t="shared" si="69"/>
        <v>19675</v>
      </c>
      <c r="F395" s="539">
        <f t="shared" si="53"/>
        <v>1</v>
      </c>
      <c r="G395" s="540">
        <v>15740</v>
      </c>
      <c r="H395" s="540">
        <v>3935</v>
      </c>
      <c r="I395" s="541">
        <f t="shared" si="51"/>
        <v>0.2</v>
      </c>
      <c r="J395" s="542" t="s">
        <v>865</v>
      </c>
    </row>
    <row r="396" spans="1:10" ht="47.25">
      <c r="A396" s="605" t="s">
        <v>672</v>
      </c>
      <c r="B396" s="671" t="s">
        <v>673</v>
      </c>
      <c r="C396" s="655" t="s">
        <v>674</v>
      </c>
      <c r="D396" s="608">
        <f>D1*0.4%</f>
        <v>157400</v>
      </c>
      <c r="E396" s="609">
        <f t="shared" si="69"/>
        <v>157400</v>
      </c>
      <c r="F396" s="610">
        <f t="shared" si="53"/>
        <v>1</v>
      </c>
      <c r="G396" s="611">
        <f>SUM(G397:G398)</f>
        <v>96014</v>
      </c>
      <c r="H396" s="611">
        <f>SUM(H397:H398)</f>
        <v>61386</v>
      </c>
      <c r="I396" s="612">
        <f t="shared" si="51"/>
        <v>0.39</v>
      </c>
      <c r="J396" s="613" t="s">
        <v>865</v>
      </c>
    </row>
    <row r="397" spans="1:10" ht="45">
      <c r="A397" s="534">
        <v>1</v>
      </c>
      <c r="B397" s="672" t="s">
        <v>675</v>
      </c>
      <c r="C397" s="536">
        <v>0.35</v>
      </c>
      <c r="D397" s="537">
        <f aca="true" t="shared" si="70" ref="D397:D398">$D$396*C397</f>
        <v>55090</v>
      </c>
      <c r="E397" s="614">
        <f t="shared" si="69"/>
        <v>55090</v>
      </c>
      <c r="F397" s="539">
        <f t="shared" si="53"/>
        <v>1</v>
      </c>
      <c r="G397" s="540">
        <v>55090</v>
      </c>
      <c r="H397" s="652">
        <v>0</v>
      </c>
      <c r="I397" s="541">
        <f t="shared" si="51"/>
        <v>0</v>
      </c>
      <c r="J397" s="542" t="s">
        <v>865</v>
      </c>
    </row>
    <row r="398" spans="1:10" ht="30">
      <c r="A398" s="534">
        <v>2</v>
      </c>
      <c r="B398" s="672" t="s">
        <v>676</v>
      </c>
      <c r="C398" s="536">
        <v>0.65</v>
      </c>
      <c r="D398" s="537">
        <f t="shared" si="70"/>
        <v>102310</v>
      </c>
      <c r="E398" s="614">
        <f t="shared" si="69"/>
        <v>102310</v>
      </c>
      <c r="F398" s="539">
        <f t="shared" si="53"/>
        <v>1</v>
      </c>
      <c r="G398" s="540">
        <v>40924</v>
      </c>
      <c r="H398" s="652">
        <v>61386</v>
      </c>
      <c r="I398" s="541">
        <f t="shared" si="51"/>
        <v>0.6</v>
      </c>
      <c r="J398" s="542" t="s">
        <v>865</v>
      </c>
    </row>
    <row r="399" spans="1:10" ht="47.25">
      <c r="A399" s="605" t="s">
        <v>677</v>
      </c>
      <c r="B399" s="671" t="s">
        <v>678</v>
      </c>
      <c r="C399" s="655" t="s">
        <v>679</v>
      </c>
      <c r="D399" s="608">
        <f>D1*4.4%</f>
        <v>1731400.0000000002</v>
      </c>
      <c r="E399" s="673">
        <f>SUM(E400,E406,E409,E410)+0.01</f>
        <v>1731400.01</v>
      </c>
      <c r="F399" s="610">
        <f t="shared" si="53"/>
        <v>1.0000000057756728</v>
      </c>
      <c r="G399" s="611">
        <f>G400+G406+G409+G410+0.01</f>
        <v>1434828.5</v>
      </c>
      <c r="H399" s="649">
        <f>+H400+H406+H409+H410</f>
        <v>296571.51</v>
      </c>
      <c r="I399" s="612">
        <f t="shared" si="51"/>
        <v>0.17129000231026914</v>
      </c>
      <c r="J399" s="613" t="s">
        <v>865</v>
      </c>
    </row>
    <row r="400" spans="1:10" ht="15.75">
      <c r="A400" s="534">
        <v>1</v>
      </c>
      <c r="B400" s="535" t="s">
        <v>895</v>
      </c>
      <c r="C400" s="536">
        <v>0.1</v>
      </c>
      <c r="D400" s="537">
        <f>$D$399*C400</f>
        <v>173140.00000000003</v>
      </c>
      <c r="E400" s="614">
        <f aca="true" t="shared" si="71" ref="E400:E405">G400+H400</f>
        <v>173140</v>
      </c>
      <c r="F400" s="539">
        <f t="shared" si="53"/>
        <v>0.9999999999999998</v>
      </c>
      <c r="G400" s="540">
        <f>SUM(G401:G405)</f>
        <v>173140</v>
      </c>
      <c r="H400" s="652">
        <f>SUM(H401:H405)</f>
        <v>0</v>
      </c>
      <c r="I400" s="541">
        <f t="shared" si="51"/>
        <v>0</v>
      </c>
      <c r="J400" s="542" t="s">
        <v>865</v>
      </c>
    </row>
    <row r="401" spans="1:10" ht="15.75">
      <c r="A401" s="551" t="s">
        <v>10</v>
      </c>
      <c r="B401" s="552" t="s">
        <v>681</v>
      </c>
      <c r="C401" s="656">
        <v>0.05</v>
      </c>
      <c r="D401" s="636">
        <v>7999.07</v>
      </c>
      <c r="E401" s="659">
        <f t="shared" si="71"/>
        <v>7999.07</v>
      </c>
      <c r="F401" s="530">
        <f t="shared" si="53"/>
        <v>1</v>
      </c>
      <c r="G401" s="531">
        <v>7999.07</v>
      </c>
      <c r="H401" s="654">
        <v>0</v>
      </c>
      <c r="I401" s="550">
        <f t="shared" si="51"/>
        <v>0</v>
      </c>
      <c r="J401" s="533" t="s">
        <v>865</v>
      </c>
    </row>
    <row r="402" spans="1:10" ht="15.75">
      <c r="A402" s="551" t="s">
        <v>20</v>
      </c>
      <c r="B402" s="552" t="s">
        <v>682</v>
      </c>
      <c r="C402" s="656">
        <v>0.1</v>
      </c>
      <c r="D402" s="636">
        <v>17971.93</v>
      </c>
      <c r="E402" s="659">
        <f t="shared" si="71"/>
        <v>17971.93</v>
      </c>
      <c r="F402" s="530">
        <f t="shared" si="53"/>
        <v>1</v>
      </c>
      <c r="G402" s="531">
        <v>17971.93</v>
      </c>
      <c r="H402" s="654">
        <v>0</v>
      </c>
      <c r="I402" s="550">
        <f t="shared" si="51"/>
        <v>0</v>
      </c>
      <c r="J402" s="533" t="s">
        <v>865</v>
      </c>
    </row>
    <row r="403" spans="1:10" ht="30">
      <c r="A403" s="551" t="s">
        <v>87</v>
      </c>
      <c r="B403" s="552" t="s">
        <v>683</v>
      </c>
      <c r="C403" s="656">
        <v>0.09</v>
      </c>
      <c r="D403" s="636">
        <v>14993.92</v>
      </c>
      <c r="E403" s="659">
        <f t="shared" si="71"/>
        <v>14993.92</v>
      </c>
      <c r="F403" s="530">
        <f t="shared" si="53"/>
        <v>1</v>
      </c>
      <c r="G403" s="531">
        <v>14993.92</v>
      </c>
      <c r="H403" s="654">
        <v>0</v>
      </c>
      <c r="I403" s="550">
        <f t="shared" si="51"/>
        <v>0</v>
      </c>
      <c r="J403" s="533" t="s">
        <v>865</v>
      </c>
    </row>
    <row r="404" spans="1:10" ht="30" customHeight="1">
      <c r="A404" s="551" t="s">
        <v>89</v>
      </c>
      <c r="B404" s="552" t="s">
        <v>684</v>
      </c>
      <c r="C404" s="656">
        <v>0.65</v>
      </c>
      <c r="D404" s="636">
        <v>112177.41</v>
      </c>
      <c r="E404" s="659">
        <f t="shared" si="71"/>
        <v>112177.41</v>
      </c>
      <c r="F404" s="530">
        <f t="shared" si="53"/>
        <v>1</v>
      </c>
      <c r="G404" s="531">
        <v>112177.41</v>
      </c>
      <c r="H404" s="654">
        <v>0</v>
      </c>
      <c r="I404" s="550">
        <f t="shared" si="51"/>
        <v>0</v>
      </c>
      <c r="J404" s="533" t="s">
        <v>865</v>
      </c>
    </row>
    <row r="405" spans="1:10" ht="30">
      <c r="A405" s="551" t="s">
        <v>91</v>
      </c>
      <c r="B405" s="552" t="s">
        <v>685</v>
      </c>
      <c r="C405" s="656">
        <v>0.12</v>
      </c>
      <c r="D405" s="636">
        <v>19997.67</v>
      </c>
      <c r="E405" s="659">
        <f t="shared" si="71"/>
        <v>19997.67</v>
      </c>
      <c r="F405" s="530">
        <f t="shared" si="53"/>
        <v>1</v>
      </c>
      <c r="G405" s="531">
        <v>19997.67</v>
      </c>
      <c r="H405" s="654">
        <v>0</v>
      </c>
      <c r="I405" s="550">
        <f t="shared" si="51"/>
        <v>0</v>
      </c>
      <c r="J405" s="533" t="s">
        <v>896</v>
      </c>
    </row>
    <row r="406" spans="1:10" ht="45">
      <c r="A406" s="534">
        <v>2</v>
      </c>
      <c r="B406" s="535" t="s">
        <v>897</v>
      </c>
      <c r="C406" s="536">
        <v>0.08</v>
      </c>
      <c r="D406" s="537">
        <f>$D$399*C406</f>
        <v>138512.00000000003</v>
      </c>
      <c r="E406" s="614">
        <f>SUM(E407:E408)</f>
        <v>138512</v>
      </c>
      <c r="F406" s="539">
        <f t="shared" si="53"/>
        <v>0.9999999999999998</v>
      </c>
      <c r="G406" s="540">
        <f>SUM(G407:G408)</f>
        <v>138512</v>
      </c>
      <c r="H406" s="652">
        <f>SUM(H407:H408)</f>
        <v>0</v>
      </c>
      <c r="I406" s="541">
        <f t="shared" si="51"/>
        <v>0</v>
      </c>
      <c r="J406" s="542" t="s">
        <v>865</v>
      </c>
    </row>
    <row r="407" spans="1:10" ht="15.75">
      <c r="A407" s="551" t="s">
        <v>62</v>
      </c>
      <c r="B407" s="552" t="s">
        <v>665</v>
      </c>
      <c r="C407" s="553">
        <v>0.15</v>
      </c>
      <c r="D407" s="554">
        <f>INT($D$406*C407)</f>
        <v>20776</v>
      </c>
      <c r="E407" s="615">
        <f aca="true" t="shared" si="72" ref="E407:E409">G407+H407</f>
        <v>20776</v>
      </c>
      <c r="F407" s="530">
        <f t="shared" si="53"/>
        <v>1</v>
      </c>
      <c r="G407" s="531">
        <v>20776</v>
      </c>
      <c r="H407" s="654">
        <v>0</v>
      </c>
      <c r="I407" s="550">
        <f t="shared" si="51"/>
        <v>0</v>
      </c>
      <c r="J407" s="533" t="s">
        <v>865</v>
      </c>
    </row>
    <row r="408" spans="1:10" ht="15.75">
      <c r="A408" s="551" t="s">
        <v>64</v>
      </c>
      <c r="B408" s="552" t="s">
        <v>666</v>
      </c>
      <c r="C408" s="553">
        <v>0.85</v>
      </c>
      <c r="D408" s="554">
        <f>D406-D407</f>
        <v>117736.00000000003</v>
      </c>
      <c r="E408" s="615">
        <f t="shared" si="72"/>
        <v>117736</v>
      </c>
      <c r="F408" s="530">
        <f t="shared" si="53"/>
        <v>0.9999999999999998</v>
      </c>
      <c r="G408" s="531">
        <v>117736</v>
      </c>
      <c r="H408" s="654">
        <v>0</v>
      </c>
      <c r="I408" s="550">
        <f t="shared" si="51"/>
        <v>0</v>
      </c>
      <c r="J408" s="533" t="s">
        <v>865</v>
      </c>
    </row>
    <row r="409" spans="1:10" ht="45">
      <c r="A409" s="534">
        <v>3</v>
      </c>
      <c r="B409" s="535" t="s">
        <v>898</v>
      </c>
      <c r="C409" s="536">
        <v>0.01</v>
      </c>
      <c r="D409" s="537">
        <f aca="true" t="shared" si="73" ref="D409:D410">$D$399*C409</f>
        <v>17314.000000000004</v>
      </c>
      <c r="E409" s="614">
        <f t="shared" si="72"/>
        <v>17314</v>
      </c>
      <c r="F409" s="539">
        <f t="shared" si="53"/>
        <v>0.9999999999999998</v>
      </c>
      <c r="G409" s="540">
        <v>13851.2</v>
      </c>
      <c r="H409" s="652">
        <v>3462.8</v>
      </c>
      <c r="I409" s="541">
        <f t="shared" si="51"/>
        <v>0.19999999999999996</v>
      </c>
      <c r="J409" s="542" t="s">
        <v>865</v>
      </c>
    </row>
    <row r="410" spans="1:10" ht="60">
      <c r="A410" s="534">
        <v>4</v>
      </c>
      <c r="B410" s="535" t="s">
        <v>689</v>
      </c>
      <c r="C410" s="536">
        <v>0.81</v>
      </c>
      <c r="D410" s="537">
        <f t="shared" si="73"/>
        <v>1402434.0000000002</v>
      </c>
      <c r="E410" s="614">
        <f>SUM(E411:E417)</f>
        <v>1402434</v>
      </c>
      <c r="F410" s="539">
        <f t="shared" si="53"/>
        <v>0.9999999999999999</v>
      </c>
      <c r="G410" s="540">
        <f>SUM(G411:G417)</f>
        <v>1109325.29</v>
      </c>
      <c r="H410" s="652">
        <f>SUM(H411:H417)</f>
        <v>293108.71</v>
      </c>
      <c r="I410" s="541">
        <f t="shared" si="51"/>
        <v>0.20900000285218412</v>
      </c>
      <c r="J410" s="542" t="s">
        <v>865</v>
      </c>
    </row>
    <row r="411" spans="1:10" ht="15.75">
      <c r="A411" s="551" t="s">
        <v>269</v>
      </c>
      <c r="B411" s="552" t="s">
        <v>690</v>
      </c>
      <c r="C411" s="553">
        <v>0.18</v>
      </c>
      <c r="D411" s="554">
        <f aca="true" t="shared" si="74" ref="D411:D417">$D$410*C411</f>
        <v>252438.12000000002</v>
      </c>
      <c r="E411" s="615">
        <f aca="true" t="shared" si="75" ref="E411:E417">G411+H411</f>
        <v>252438.12</v>
      </c>
      <c r="F411" s="530">
        <f t="shared" si="53"/>
        <v>0.9999999999999999</v>
      </c>
      <c r="G411" s="531">
        <v>252438.12</v>
      </c>
      <c r="H411" s="654">
        <v>0</v>
      </c>
      <c r="I411" s="550">
        <f t="shared" si="51"/>
        <v>0</v>
      </c>
      <c r="J411" s="533" t="s">
        <v>865</v>
      </c>
    </row>
    <row r="412" spans="1:10" ht="15.75">
      <c r="A412" s="551" t="s">
        <v>271</v>
      </c>
      <c r="B412" s="552" t="s">
        <v>691</v>
      </c>
      <c r="C412" s="553">
        <v>0.09</v>
      </c>
      <c r="D412" s="554">
        <f t="shared" si="74"/>
        <v>126219.06000000001</v>
      </c>
      <c r="E412" s="615">
        <f t="shared" si="75"/>
        <v>126219.06</v>
      </c>
      <c r="F412" s="530">
        <f t="shared" si="53"/>
        <v>0.9999999999999999</v>
      </c>
      <c r="G412" s="531">
        <v>126219.06</v>
      </c>
      <c r="H412" s="654">
        <v>0</v>
      </c>
      <c r="I412" s="550">
        <f t="shared" si="51"/>
        <v>0</v>
      </c>
      <c r="J412" s="533" t="s">
        <v>865</v>
      </c>
    </row>
    <row r="413" spans="1:10" ht="15.75">
      <c r="A413" s="551" t="s">
        <v>429</v>
      </c>
      <c r="B413" s="552" t="s">
        <v>692</v>
      </c>
      <c r="C413" s="553">
        <v>0.03</v>
      </c>
      <c r="D413" s="554">
        <f t="shared" si="74"/>
        <v>42073.020000000004</v>
      </c>
      <c r="E413" s="615">
        <f t="shared" si="75"/>
        <v>42073.02</v>
      </c>
      <c r="F413" s="530">
        <f t="shared" si="53"/>
        <v>0.9999999999999998</v>
      </c>
      <c r="G413" s="531">
        <v>0</v>
      </c>
      <c r="H413" s="654">
        <v>42073.02</v>
      </c>
      <c r="I413" s="550">
        <f t="shared" si="51"/>
        <v>0.9999999999999998</v>
      </c>
      <c r="J413" s="533" t="s">
        <v>865</v>
      </c>
    </row>
    <row r="414" spans="1:10" ht="15.75">
      <c r="A414" s="551" t="s">
        <v>431</v>
      </c>
      <c r="B414" s="552" t="s">
        <v>693</v>
      </c>
      <c r="C414" s="553">
        <v>0.24</v>
      </c>
      <c r="D414" s="554">
        <f t="shared" si="74"/>
        <v>336584.16000000003</v>
      </c>
      <c r="E414" s="615">
        <f t="shared" si="75"/>
        <v>336584.16</v>
      </c>
      <c r="F414" s="530">
        <f t="shared" si="53"/>
        <v>0.9999999999999998</v>
      </c>
      <c r="G414" s="531">
        <v>336584.16</v>
      </c>
      <c r="H414" s="654">
        <v>0</v>
      </c>
      <c r="I414" s="550">
        <f t="shared" si="51"/>
        <v>0</v>
      </c>
      <c r="J414" s="533" t="s">
        <v>865</v>
      </c>
    </row>
    <row r="415" spans="1:10" ht="30">
      <c r="A415" s="551" t="s">
        <v>433</v>
      </c>
      <c r="B415" s="552" t="s">
        <v>694</v>
      </c>
      <c r="C415" s="553">
        <v>0.23</v>
      </c>
      <c r="D415" s="554">
        <f t="shared" si="74"/>
        <v>322559.82000000007</v>
      </c>
      <c r="E415" s="615">
        <f t="shared" si="75"/>
        <v>322559.82</v>
      </c>
      <c r="F415" s="530">
        <f t="shared" si="53"/>
        <v>0.9999999999999998</v>
      </c>
      <c r="G415" s="531">
        <v>225791.87</v>
      </c>
      <c r="H415" s="654">
        <v>96767.95</v>
      </c>
      <c r="I415" s="550">
        <f t="shared" si="51"/>
        <v>0.3000000124008005</v>
      </c>
      <c r="J415" s="533" t="s">
        <v>865</v>
      </c>
    </row>
    <row r="416" spans="1:10" ht="15.75">
      <c r="A416" s="551" t="s">
        <v>695</v>
      </c>
      <c r="B416" s="552" t="s">
        <v>696</v>
      </c>
      <c r="C416" s="553">
        <v>0.12</v>
      </c>
      <c r="D416" s="554">
        <f t="shared" si="74"/>
        <v>168292.08000000002</v>
      </c>
      <c r="E416" s="615">
        <f t="shared" si="75"/>
        <v>168292.08</v>
      </c>
      <c r="F416" s="530">
        <f t="shared" si="53"/>
        <v>0.9999999999999998</v>
      </c>
      <c r="G416" s="531">
        <v>168292.08</v>
      </c>
      <c r="H416" s="654">
        <v>0</v>
      </c>
      <c r="I416" s="550">
        <f t="shared" si="51"/>
        <v>0</v>
      </c>
      <c r="J416" s="533" t="s">
        <v>865</v>
      </c>
    </row>
    <row r="417" spans="1:10" ht="15.75">
      <c r="A417" s="551" t="s">
        <v>697</v>
      </c>
      <c r="B417" s="552" t="s">
        <v>698</v>
      </c>
      <c r="C417" s="553">
        <v>0.11</v>
      </c>
      <c r="D417" s="554">
        <f t="shared" si="74"/>
        <v>154267.74000000002</v>
      </c>
      <c r="E417" s="615">
        <f t="shared" si="75"/>
        <v>154267.74</v>
      </c>
      <c r="F417" s="530">
        <f t="shared" si="53"/>
        <v>0.9999999999999998</v>
      </c>
      <c r="G417" s="531">
        <v>0</v>
      </c>
      <c r="H417" s="654">
        <v>154267.74</v>
      </c>
      <c r="I417" s="550">
        <f t="shared" si="51"/>
        <v>0.9999999999999998</v>
      </c>
      <c r="J417" s="533" t="s">
        <v>865</v>
      </c>
    </row>
    <row r="418" spans="1:10" ht="91.5" customHeight="1">
      <c r="A418" s="605" t="s">
        <v>699</v>
      </c>
      <c r="B418" s="671" t="s">
        <v>700</v>
      </c>
      <c r="C418" s="655" t="s">
        <v>701</v>
      </c>
      <c r="D418" s="608">
        <f>D1*0.3%</f>
        <v>118050</v>
      </c>
      <c r="E418" s="609">
        <f>SUM(E419:E423)</f>
        <v>118050</v>
      </c>
      <c r="F418" s="610">
        <f t="shared" si="53"/>
        <v>1</v>
      </c>
      <c r="G418" s="611">
        <f>SUM(G419:G423)</f>
        <v>0</v>
      </c>
      <c r="H418" s="611">
        <f>SUM(H419:H423)</f>
        <v>118050</v>
      </c>
      <c r="I418" s="612">
        <f t="shared" si="51"/>
        <v>1</v>
      </c>
      <c r="J418" s="613" t="s">
        <v>865</v>
      </c>
    </row>
    <row r="419" spans="1:10" ht="30">
      <c r="A419" s="534">
        <v>1</v>
      </c>
      <c r="B419" s="535" t="s">
        <v>702</v>
      </c>
      <c r="C419" s="536">
        <v>0.57</v>
      </c>
      <c r="D419" s="537">
        <f aca="true" t="shared" si="76" ref="D419:D423">$D$418*C419</f>
        <v>67288.5</v>
      </c>
      <c r="E419" s="614">
        <f aca="true" t="shared" si="77" ref="E419:E423">G419+H419</f>
        <v>67288.5</v>
      </c>
      <c r="F419" s="539">
        <f t="shared" si="53"/>
        <v>1</v>
      </c>
      <c r="G419" s="540">
        <v>0</v>
      </c>
      <c r="H419" s="674">
        <v>67288.5</v>
      </c>
      <c r="I419" s="541">
        <f t="shared" si="51"/>
        <v>1</v>
      </c>
      <c r="J419" s="542" t="s">
        <v>865</v>
      </c>
    </row>
    <row r="420" spans="1:10" ht="15.75">
      <c r="A420" s="534">
        <v>2</v>
      </c>
      <c r="B420" s="535" t="s">
        <v>703</v>
      </c>
      <c r="C420" s="536">
        <v>0.21</v>
      </c>
      <c r="D420" s="537">
        <f t="shared" si="76"/>
        <v>24790.5</v>
      </c>
      <c r="E420" s="614">
        <f t="shared" si="77"/>
        <v>24790.5</v>
      </c>
      <c r="F420" s="539">
        <f t="shared" si="53"/>
        <v>1</v>
      </c>
      <c r="G420" s="540">
        <v>0</v>
      </c>
      <c r="H420" s="674">
        <v>24790.5</v>
      </c>
      <c r="I420" s="541">
        <f t="shared" si="51"/>
        <v>1</v>
      </c>
      <c r="J420" s="542" t="s">
        <v>865</v>
      </c>
    </row>
    <row r="421" spans="1:10" ht="30">
      <c r="A421" s="534">
        <v>3</v>
      </c>
      <c r="B421" s="535" t="s">
        <v>704</v>
      </c>
      <c r="C421" s="536">
        <v>0.13</v>
      </c>
      <c r="D421" s="537">
        <f t="shared" si="76"/>
        <v>15346.5</v>
      </c>
      <c r="E421" s="614">
        <f t="shared" si="77"/>
        <v>15346.5</v>
      </c>
      <c r="F421" s="539">
        <f t="shared" si="53"/>
        <v>1</v>
      </c>
      <c r="G421" s="540">
        <v>0</v>
      </c>
      <c r="H421" s="674">
        <v>15346.5</v>
      </c>
      <c r="I421" s="541">
        <f t="shared" si="51"/>
        <v>1</v>
      </c>
      <c r="J421" s="542" t="s">
        <v>865</v>
      </c>
    </row>
    <row r="422" spans="1:10" ht="15.75">
      <c r="A422" s="534">
        <v>4</v>
      </c>
      <c r="B422" s="535" t="s">
        <v>705</v>
      </c>
      <c r="C422" s="536">
        <v>0.05</v>
      </c>
      <c r="D422" s="537">
        <f t="shared" si="76"/>
        <v>5902.5</v>
      </c>
      <c r="E422" s="614">
        <f t="shared" si="77"/>
        <v>5902.5</v>
      </c>
      <c r="F422" s="539">
        <f t="shared" si="53"/>
        <v>1</v>
      </c>
      <c r="G422" s="540">
        <v>0</v>
      </c>
      <c r="H422" s="674">
        <v>5902.5</v>
      </c>
      <c r="I422" s="541">
        <f t="shared" si="51"/>
        <v>1</v>
      </c>
      <c r="J422" s="542" t="s">
        <v>865</v>
      </c>
    </row>
    <row r="423" spans="1:10" ht="30">
      <c r="A423" s="534">
        <v>5</v>
      </c>
      <c r="B423" s="535" t="s">
        <v>706</v>
      </c>
      <c r="C423" s="536">
        <v>0.04</v>
      </c>
      <c r="D423" s="537">
        <f t="shared" si="76"/>
        <v>4722</v>
      </c>
      <c r="E423" s="614">
        <f t="shared" si="77"/>
        <v>4722</v>
      </c>
      <c r="F423" s="539">
        <f t="shared" si="53"/>
        <v>1</v>
      </c>
      <c r="G423" s="540">
        <v>0</v>
      </c>
      <c r="H423" s="674">
        <v>4722</v>
      </c>
      <c r="I423" s="541">
        <f t="shared" si="51"/>
        <v>1</v>
      </c>
      <c r="J423" s="542" t="s">
        <v>865</v>
      </c>
    </row>
    <row r="424" spans="1:10" s="1" customFormat="1" ht="94.5">
      <c r="A424" s="605" t="s">
        <v>707</v>
      </c>
      <c r="B424" s="606" t="s">
        <v>708</v>
      </c>
      <c r="C424" s="607" t="s">
        <v>709</v>
      </c>
      <c r="D424" s="608">
        <f>D1*3.1%</f>
        <v>1219850</v>
      </c>
      <c r="E424" s="609">
        <f>SUM(E442:E446,E435,E425)</f>
        <v>1219850.02</v>
      </c>
      <c r="F424" s="610">
        <f t="shared" si="53"/>
        <v>1.0000000163954585</v>
      </c>
      <c r="G424" s="611">
        <f>G425+G435+G442+G443+G444+G445+G446</f>
        <v>827240.87</v>
      </c>
      <c r="H424" s="611">
        <f>H425+H435+H442+H443+H444+H445+H446</f>
        <v>392609.15</v>
      </c>
      <c r="I424" s="612">
        <f t="shared" si="51"/>
        <v>0.32185035045292454</v>
      </c>
      <c r="J424" s="613" t="s">
        <v>865</v>
      </c>
    </row>
    <row r="425" spans="1:10" ht="30" customHeight="1">
      <c r="A425" s="534">
        <v>1</v>
      </c>
      <c r="B425" s="535" t="s">
        <v>710</v>
      </c>
      <c r="C425" s="536">
        <v>0.53</v>
      </c>
      <c r="D425" s="537">
        <f>$D$424*C425</f>
        <v>646520.5</v>
      </c>
      <c r="E425" s="614">
        <f aca="true" t="shared" si="78" ref="E425:E435">G425+H425</f>
        <v>646520.4999999999</v>
      </c>
      <c r="F425" s="539">
        <f t="shared" si="53"/>
        <v>0.9999999999999998</v>
      </c>
      <c r="G425" s="540">
        <f>SUM(G426:G434)</f>
        <v>569584.1499999999</v>
      </c>
      <c r="H425" s="540">
        <f>SUM(H426:H434)</f>
        <v>76936.35</v>
      </c>
      <c r="I425" s="541">
        <f t="shared" si="51"/>
        <v>0.11900063493732992</v>
      </c>
      <c r="J425" s="542" t="s">
        <v>865</v>
      </c>
    </row>
    <row r="426" spans="1:10" ht="30">
      <c r="A426" s="551" t="s">
        <v>10</v>
      </c>
      <c r="B426" s="552" t="s">
        <v>711</v>
      </c>
      <c r="C426" s="553">
        <v>0.01</v>
      </c>
      <c r="D426" s="554">
        <f aca="true" t="shared" si="79" ref="D426:D433">INT($D$425*C426)</f>
        <v>6465</v>
      </c>
      <c r="E426" s="615">
        <f t="shared" si="78"/>
        <v>6465</v>
      </c>
      <c r="F426" s="530">
        <f t="shared" si="53"/>
        <v>1</v>
      </c>
      <c r="G426" s="531">
        <v>6465</v>
      </c>
      <c r="H426" s="531">
        <v>0</v>
      </c>
      <c r="I426" s="550">
        <f t="shared" si="51"/>
        <v>0</v>
      </c>
      <c r="J426" s="533" t="s">
        <v>865</v>
      </c>
    </row>
    <row r="427" spans="1:10" ht="15.75">
      <c r="A427" s="551" t="s">
        <v>20</v>
      </c>
      <c r="B427" s="552" t="s">
        <v>899</v>
      </c>
      <c r="C427" s="553">
        <v>0.04</v>
      </c>
      <c r="D427" s="554">
        <f t="shared" si="79"/>
        <v>25860</v>
      </c>
      <c r="E427" s="615">
        <f t="shared" si="78"/>
        <v>25860</v>
      </c>
      <c r="F427" s="530">
        <f t="shared" si="53"/>
        <v>1</v>
      </c>
      <c r="G427" s="531">
        <v>20688</v>
      </c>
      <c r="H427" s="531">
        <v>5172</v>
      </c>
      <c r="I427" s="550">
        <f t="shared" si="51"/>
        <v>0.2</v>
      </c>
      <c r="J427" s="533" t="s">
        <v>865</v>
      </c>
    </row>
    <row r="428" spans="1:10" ht="15.75">
      <c r="A428" s="551" t="s">
        <v>87</v>
      </c>
      <c r="B428" s="552" t="s">
        <v>713</v>
      </c>
      <c r="C428" s="553">
        <v>0.06</v>
      </c>
      <c r="D428" s="554">
        <f t="shared" si="79"/>
        <v>38791</v>
      </c>
      <c r="E428" s="615">
        <f t="shared" si="78"/>
        <v>38791</v>
      </c>
      <c r="F428" s="530">
        <f t="shared" si="53"/>
        <v>1</v>
      </c>
      <c r="G428" s="531">
        <v>31032.8</v>
      </c>
      <c r="H428" s="531">
        <v>7758.2</v>
      </c>
      <c r="I428" s="550">
        <f t="shared" si="51"/>
        <v>0.19999999999999998</v>
      </c>
      <c r="J428" s="533" t="s">
        <v>865</v>
      </c>
    </row>
    <row r="429" spans="1:10" ht="15.75">
      <c r="A429" s="551" t="s">
        <v>89</v>
      </c>
      <c r="B429" s="552" t="s">
        <v>714</v>
      </c>
      <c r="C429" s="553">
        <v>0.1</v>
      </c>
      <c r="D429" s="554">
        <f t="shared" si="79"/>
        <v>64652</v>
      </c>
      <c r="E429" s="615">
        <f t="shared" si="78"/>
        <v>64652</v>
      </c>
      <c r="F429" s="530">
        <f t="shared" si="53"/>
        <v>1</v>
      </c>
      <c r="G429" s="531">
        <v>38791.2</v>
      </c>
      <c r="H429" s="531">
        <v>25860.8</v>
      </c>
      <c r="I429" s="550">
        <f t="shared" si="51"/>
        <v>0.39999999999999997</v>
      </c>
      <c r="J429" s="533" t="s">
        <v>865</v>
      </c>
    </row>
    <row r="430" spans="1:10" ht="30">
      <c r="A430" s="551" t="s">
        <v>91</v>
      </c>
      <c r="B430" s="552" t="s">
        <v>715</v>
      </c>
      <c r="C430" s="553">
        <v>0.04</v>
      </c>
      <c r="D430" s="554">
        <f t="shared" si="79"/>
        <v>25860</v>
      </c>
      <c r="E430" s="615">
        <f t="shared" si="78"/>
        <v>25860</v>
      </c>
      <c r="F430" s="530">
        <f t="shared" si="53"/>
        <v>1</v>
      </c>
      <c r="G430" s="531">
        <v>20688</v>
      </c>
      <c r="H430" s="531">
        <v>5172</v>
      </c>
      <c r="I430" s="550">
        <f t="shared" si="51"/>
        <v>0.2</v>
      </c>
      <c r="J430" s="533" t="s">
        <v>865</v>
      </c>
    </row>
    <row r="431" spans="1:10" ht="60">
      <c r="A431" s="551" t="s">
        <v>93</v>
      </c>
      <c r="B431" s="552" t="s">
        <v>900</v>
      </c>
      <c r="C431" s="553">
        <v>0.22</v>
      </c>
      <c r="D431" s="554">
        <f t="shared" si="79"/>
        <v>142234</v>
      </c>
      <c r="E431" s="615">
        <f t="shared" si="78"/>
        <v>142234</v>
      </c>
      <c r="F431" s="530">
        <f t="shared" si="53"/>
        <v>1</v>
      </c>
      <c r="G431" s="531">
        <v>113787.2</v>
      </c>
      <c r="H431" s="531">
        <v>28446.8</v>
      </c>
      <c r="I431" s="550">
        <f t="shared" si="51"/>
        <v>0.19999999999999998</v>
      </c>
      <c r="J431" s="533" t="s">
        <v>865</v>
      </c>
    </row>
    <row r="432" spans="1:10" ht="15.75">
      <c r="A432" s="551" t="s">
        <v>95</v>
      </c>
      <c r="B432" s="552" t="s">
        <v>717</v>
      </c>
      <c r="C432" s="553">
        <v>0.02</v>
      </c>
      <c r="D432" s="554">
        <f t="shared" si="79"/>
        <v>12930</v>
      </c>
      <c r="E432" s="615">
        <f t="shared" si="78"/>
        <v>12930</v>
      </c>
      <c r="F432" s="530">
        <f t="shared" si="53"/>
        <v>1</v>
      </c>
      <c r="G432" s="531">
        <v>10344</v>
      </c>
      <c r="H432" s="531">
        <v>2586</v>
      </c>
      <c r="I432" s="550">
        <f t="shared" si="51"/>
        <v>0.2</v>
      </c>
      <c r="J432" s="533" t="s">
        <v>865</v>
      </c>
    </row>
    <row r="433" spans="1:10" ht="30">
      <c r="A433" s="551" t="s">
        <v>97</v>
      </c>
      <c r="B433" s="552" t="s">
        <v>901</v>
      </c>
      <c r="C433" s="553">
        <v>0.5</v>
      </c>
      <c r="D433" s="554">
        <f t="shared" si="79"/>
        <v>323260</v>
      </c>
      <c r="E433" s="615">
        <f t="shared" si="78"/>
        <v>323260</v>
      </c>
      <c r="F433" s="530">
        <f t="shared" si="53"/>
        <v>1</v>
      </c>
      <c r="G433" s="531">
        <v>323260</v>
      </c>
      <c r="H433" s="531">
        <v>0</v>
      </c>
      <c r="I433" s="550">
        <f t="shared" si="51"/>
        <v>0</v>
      </c>
      <c r="J433" s="533" t="s">
        <v>865</v>
      </c>
    </row>
    <row r="434" spans="1:10" ht="15.75">
      <c r="A434" s="551" t="s">
        <v>99</v>
      </c>
      <c r="B434" s="552" t="s">
        <v>902</v>
      </c>
      <c r="C434" s="553">
        <v>0.01</v>
      </c>
      <c r="D434" s="554">
        <f>D425-SUM(D426:D433)</f>
        <v>6468.5</v>
      </c>
      <c r="E434" s="615">
        <f t="shared" si="78"/>
        <v>6468.5</v>
      </c>
      <c r="F434" s="530">
        <f t="shared" si="53"/>
        <v>1</v>
      </c>
      <c r="G434" s="531">
        <v>4527.95</v>
      </c>
      <c r="H434" s="531">
        <v>1940.55</v>
      </c>
      <c r="I434" s="550">
        <f t="shared" si="51"/>
        <v>0.3</v>
      </c>
      <c r="J434" s="533" t="s">
        <v>865</v>
      </c>
    </row>
    <row r="435" spans="1:10" ht="15.75">
      <c r="A435" s="534">
        <v>2</v>
      </c>
      <c r="B435" s="535" t="s">
        <v>720</v>
      </c>
      <c r="C435" s="536">
        <v>0.37</v>
      </c>
      <c r="D435" s="537">
        <f>$D$424*C435</f>
        <v>451344.5</v>
      </c>
      <c r="E435" s="614">
        <f t="shared" si="78"/>
        <v>451344.52</v>
      </c>
      <c r="F435" s="539">
        <f t="shared" si="53"/>
        <v>1.00000004431205</v>
      </c>
      <c r="G435" s="540">
        <f>+G436</f>
        <v>228380.32</v>
      </c>
      <c r="H435" s="540">
        <f>H436</f>
        <v>222964.2</v>
      </c>
      <c r="I435" s="541">
        <f t="shared" si="51"/>
        <v>0.4940000376652424</v>
      </c>
      <c r="J435" s="542" t="s">
        <v>865</v>
      </c>
    </row>
    <row r="436" spans="1:10" ht="15.75">
      <c r="A436" s="551" t="s">
        <v>62</v>
      </c>
      <c r="B436" s="552" t="s">
        <v>721</v>
      </c>
      <c r="C436" s="546">
        <v>0.55</v>
      </c>
      <c r="D436" s="636">
        <v>248239.48</v>
      </c>
      <c r="E436" s="615">
        <f>SUM(E437:E441)</f>
        <v>451344.51999999996</v>
      </c>
      <c r="F436" s="530"/>
      <c r="G436" s="531">
        <f>SUM(G437:G441)</f>
        <v>228380.32</v>
      </c>
      <c r="H436" s="531">
        <f>SUM(H437:H441)</f>
        <v>222964.2</v>
      </c>
      <c r="I436" s="550"/>
      <c r="J436" s="533"/>
    </row>
    <row r="437" spans="1:10" ht="30">
      <c r="A437" s="593" t="s">
        <v>408</v>
      </c>
      <c r="B437" s="594" t="s">
        <v>722</v>
      </c>
      <c r="C437" s="557">
        <v>0.6</v>
      </c>
      <c r="D437" s="579">
        <v>148943.68</v>
      </c>
      <c r="E437" s="662">
        <f aca="true" t="shared" si="80" ref="E437:E446">G437+H437</f>
        <v>148943.69</v>
      </c>
      <c r="F437" s="560">
        <f aca="true" t="shared" si="81" ref="F437:F464">E437/D437</f>
        <v>1.0000000671394718</v>
      </c>
      <c r="G437" s="561">
        <v>104260.58</v>
      </c>
      <c r="H437" s="561">
        <v>44683.11</v>
      </c>
      <c r="I437" s="563">
        <f aca="true" t="shared" si="82" ref="I437:I464">H437/D437</f>
        <v>0.3000000402836831</v>
      </c>
      <c r="J437" s="564" t="s">
        <v>865</v>
      </c>
    </row>
    <row r="438" spans="1:10" ht="60">
      <c r="A438" s="593" t="s">
        <v>410</v>
      </c>
      <c r="B438" s="594" t="s">
        <v>723</v>
      </c>
      <c r="C438" s="557">
        <v>0.2</v>
      </c>
      <c r="D438" s="579">
        <v>49647.895000000004</v>
      </c>
      <c r="E438" s="662">
        <f t="shared" si="80"/>
        <v>49647.9</v>
      </c>
      <c r="F438" s="560">
        <f t="shared" si="81"/>
        <v>1.0000001007092043</v>
      </c>
      <c r="G438" s="561">
        <v>0</v>
      </c>
      <c r="H438" s="561">
        <v>49647.9</v>
      </c>
      <c r="I438" s="563">
        <f t="shared" si="82"/>
        <v>1.0000001007092043</v>
      </c>
      <c r="J438" s="564" t="s">
        <v>865</v>
      </c>
    </row>
    <row r="439" spans="1:10" ht="15.75">
      <c r="A439" s="593" t="s">
        <v>513</v>
      </c>
      <c r="B439" s="594" t="s">
        <v>724</v>
      </c>
      <c r="C439" s="557">
        <v>0.02</v>
      </c>
      <c r="D439" s="579">
        <v>49647.895000000004</v>
      </c>
      <c r="E439" s="662">
        <f t="shared" si="80"/>
        <v>49647.9</v>
      </c>
      <c r="F439" s="560">
        <f t="shared" si="81"/>
        <v>1.0000001007092043</v>
      </c>
      <c r="G439" s="561">
        <v>0</v>
      </c>
      <c r="H439" s="561">
        <v>49647.9</v>
      </c>
      <c r="I439" s="563">
        <f t="shared" si="82"/>
        <v>1.0000001007092043</v>
      </c>
      <c r="J439" s="564" t="s">
        <v>865</v>
      </c>
    </row>
    <row r="440" spans="1:13" ht="180">
      <c r="A440" s="593" t="s">
        <v>515</v>
      </c>
      <c r="B440" s="594" t="s">
        <v>725</v>
      </c>
      <c r="C440" s="557">
        <v>0.4</v>
      </c>
      <c r="D440" s="668">
        <v>180537.8</v>
      </c>
      <c r="E440" s="662">
        <f t="shared" si="80"/>
        <v>180537.8</v>
      </c>
      <c r="F440" s="560">
        <f t="shared" si="81"/>
        <v>1</v>
      </c>
      <c r="G440" s="561">
        <v>108322.68</v>
      </c>
      <c r="H440" s="561">
        <v>72215.12</v>
      </c>
      <c r="I440" s="563">
        <f t="shared" si="82"/>
        <v>0.4</v>
      </c>
      <c r="J440" s="564" t="s">
        <v>865</v>
      </c>
      <c r="M440" s="638">
        <f>D440-G440</f>
        <v>72215.12</v>
      </c>
    </row>
    <row r="441" spans="1:10" ht="60">
      <c r="A441" s="593" t="s">
        <v>517</v>
      </c>
      <c r="B441" s="594" t="s">
        <v>726</v>
      </c>
      <c r="C441" s="557">
        <v>0.05</v>
      </c>
      <c r="D441" s="668">
        <v>22567.23</v>
      </c>
      <c r="E441" s="662">
        <f t="shared" si="80"/>
        <v>22567.23</v>
      </c>
      <c r="F441" s="560">
        <f t="shared" si="81"/>
        <v>1</v>
      </c>
      <c r="G441" s="561">
        <v>15797.06</v>
      </c>
      <c r="H441" s="561">
        <v>6770.17</v>
      </c>
      <c r="I441" s="563">
        <f t="shared" si="82"/>
        <v>0.3000000443120401</v>
      </c>
      <c r="J441" s="564" t="s">
        <v>865</v>
      </c>
    </row>
    <row r="442" spans="1:10" ht="30">
      <c r="A442" s="534">
        <v>3</v>
      </c>
      <c r="B442" s="535" t="s">
        <v>727</v>
      </c>
      <c r="C442" s="536">
        <v>0.02</v>
      </c>
      <c r="D442" s="537">
        <f aca="true" t="shared" si="83" ref="D442:D446">$D$424*C442</f>
        <v>24397</v>
      </c>
      <c r="E442" s="614">
        <f t="shared" si="80"/>
        <v>24397</v>
      </c>
      <c r="F442" s="539">
        <f t="shared" si="81"/>
        <v>1</v>
      </c>
      <c r="G442" s="540">
        <v>0</v>
      </c>
      <c r="H442" s="540">
        <v>24397</v>
      </c>
      <c r="I442" s="541">
        <f t="shared" si="82"/>
        <v>1</v>
      </c>
      <c r="J442" s="542" t="s">
        <v>865</v>
      </c>
    </row>
    <row r="443" spans="1:10" ht="30">
      <c r="A443" s="534">
        <v>4</v>
      </c>
      <c r="B443" s="535" t="s">
        <v>728</v>
      </c>
      <c r="C443" s="536">
        <v>0.02</v>
      </c>
      <c r="D443" s="537">
        <f t="shared" si="83"/>
        <v>24397</v>
      </c>
      <c r="E443" s="614">
        <f t="shared" si="80"/>
        <v>24397</v>
      </c>
      <c r="F443" s="539">
        <f t="shared" si="81"/>
        <v>1</v>
      </c>
      <c r="G443" s="540">
        <v>0</v>
      </c>
      <c r="H443" s="540">
        <v>24397</v>
      </c>
      <c r="I443" s="541">
        <f t="shared" si="82"/>
        <v>1</v>
      </c>
      <c r="J443" s="542" t="s">
        <v>865</v>
      </c>
    </row>
    <row r="444" spans="1:10" ht="30">
      <c r="A444" s="534">
        <v>5</v>
      </c>
      <c r="B444" s="535" t="s">
        <v>729</v>
      </c>
      <c r="C444" s="536">
        <v>0.01</v>
      </c>
      <c r="D444" s="537">
        <f t="shared" si="83"/>
        <v>12198.5</v>
      </c>
      <c r="E444" s="614">
        <f t="shared" si="80"/>
        <v>12198.5</v>
      </c>
      <c r="F444" s="539">
        <f t="shared" si="81"/>
        <v>1</v>
      </c>
      <c r="G444" s="540">
        <v>0</v>
      </c>
      <c r="H444" s="540">
        <v>12198.5</v>
      </c>
      <c r="I444" s="541">
        <f t="shared" si="82"/>
        <v>1</v>
      </c>
      <c r="J444" s="542" t="s">
        <v>865</v>
      </c>
    </row>
    <row r="445" spans="1:10" ht="15.75">
      <c r="A445" s="534">
        <v>6</v>
      </c>
      <c r="B445" s="535" t="s">
        <v>730</v>
      </c>
      <c r="C445" s="536">
        <v>0.01</v>
      </c>
      <c r="D445" s="537">
        <f t="shared" si="83"/>
        <v>12198.5</v>
      </c>
      <c r="E445" s="614">
        <f t="shared" si="80"/>
        <v>12198.5</v>
      </c>
      <c r="F445" s="539">
        <f t="shared" si="81"/>
        <v>1</v>
      </c>
      <c r="G445" s="540">
        <v>0</v>
      </c>
      <c r="H445" s="540">
        <v>12198.5</v>
      </c>
      <c r="I445" s="541">
        <f t="shared" si="82"/>
        <v>1</v>
      </c>
      <c r="J445" s="542" t="s">
        <v>865</v>
      </c>
    </row>
    <row r="446" spans="1:10" ht="60">
      <c r="A446" s="534">
        <v>7</v>
      </c>
      <c r="B446" s="535" t="s">
        <v>731</v>
      </c>
      <c r="C446" s="536">
        <v>0.04</v>
      </c>
      <c r="D446" s="537">
        <f t="shared" si="83"/>
        <v>48794</v>
      </c>
      <c r="E446" s="614">
        <f t="shared" si="80"/>
        <v>48794</v>
      </c>
      <c r="F446" s="539">
        <f t="shared" si="81"/>
        <v>1</v>
      </c>
      <c r="G446" s="540">
        <v>29276.4</v>
      </c>
      <c r="H446" s="540">
        <v>19517.6</v>
      </c>
      <c r="I446" s="541">
        <f t="shared" si="82"/>
        <v>0.39999999999999997</v>
      </c>
      <c r="J446" s="542" t="s">
        <v>865</v>
      </c>
    </row>
    <row r="447" spans="1:10" ht="126">
      <c r="A447" s="605" t="s">
        <v>732</v>
      </c>
      <c r="B447" s="671" t="s">
        <v>733</v>
      </c>
      <c r="C447" s="655" t="s">
        <v>734</v>
      </c>
      <c r="D447" s="608">
        <f>D1*0.6%</f>
        <v>236100</v>
      </c>
      <c r="E447" s="609">
        <f>SUM(E448:E454)</f>
        <v>39664.8</v>
      </c>
      <c r="F447" s="610">
        <f t="shared" si="81"/>
        <v>0.168</v>
      </c>
      <c r="G447" s="611">
        <f>SUM(G448:G454)</f>
        <v>39664.8</v>
      </c>
      <c r="H447" s="611">
        <f>SUM(H448:H454)</f>
        <v>0</v>
      </c>
      <c r="I447" s="612">
        <f t="shared" si="82"/>
        <v>0</v>
      </c>
      <c r="J447" s="613" t="s">
        <v>865</v>
      </c>
    </row>
    <row r="448" spans="1:10" ht="15.75">
      <c r="A448" s="534">
        <v>1</v>
      </c>
      <c r="B448" s="672" t="s">
        <v>735</v>
      </c>
      <c r="C448" s="536">
        <v>0.04</v>
      </c>
      <c r="D448" s="537">
        <f aca="true" t="shared" si="84" ref="D448:D454">$D$447*C448</f>
        <v>9444</v>
      </c>
      <c r="E448" s="614">
        <f aca="true" t="shared" si="85" ref="E448:E453">G448+H448</f>
        <v>0</v>
      </c>
      <c r="F448" s="539">
        <f t="shared" si="81"/>
        <v>0</v>
      </c>
      <c r="G448" s="540">
        <v>0</v>
      </c>
      <c r="H448" s="540">
        <v>0</v>
      </c>
      <c r="I448" s="541">
        <f t="shared" si="82"/>
        <v>0</v>
      </c>
      <c r="J448" s="542" t="s">
        <v>865</v>
      </c>
    </row>
    <row r="449" spans="1:10" ht="45">
      <c r="A449" s="534">
        <v>2</v>
      </c>
      <c r="B449" s="672" t="s">
        <v>736</v>
      </c>
      <c r="C449" s="536">
        <v>0.35</v>
      </c>
      <c r="D449" s="537">
        <f t="shared" si="84"/>
        <v>82635</v>
      </c>
      <c r="E449" s="614">
        <f t="shared" si="85"/>
        <v>0</v>
      </c>
      <c r="F449" s="539">
        <f t="shared" si="81"/>
        <v>0</v>
      </c>
      <c r="G449" s="540">
        <v>0</v>
      </c>
      <c r="H449" s="540">
        <v>0</v>
      </c>
      <c r="I449" s="541">
        <f t="shared" si="82"/>
        <v>0</v>
      </c>
      <c r="J449" s="542" t="s">
        <v>865</v>
      </c>
    </row>
    <row r="450" spans="1:10" ht="45">
      <c r="A450" s="534">
        <v>3</v>
      </c>
      <c r="B450" s="672" t="s">
        <v>737</v>
      </c>
      <c r="C450" s="536">
        <v>0.02</v>
      </c>
      <c r="D450" s="537">
        <f t="shared" si="84"/>
        <v>4722</v>
      </c>
      <c r="E450" s="614">
        <f t="shared" si="85"/>
        <v>0</v>
      </c>
      <c r="F450" s="539">
        <f t="shared" si="81"/>
        <v>0</v>
      </c>
      <c r="G450" s="540">
        <v>0</v>
      </c>
      <c r="H450" s="540">
        <v>0</v>
      </c>
      <c r="I450" s="541">
        <f t="shared" si="82"/>
        <v>0</v>
      </c>
      <c r="J450" s="542" t="s">
        <v>865</v>
      </c>
    </row>
    <row r="451" spans="1:10" ht="30">
      <c r="A451" s="534">
        <v>4</v>
      </c>
      <c r="B451" s="672" t="s">
        <v>738</v>
      </c>
      <c r="C451" s="536">
        <v>0.08</v>
      </c>
      <c r="D451" s="537">
        <f t="shared" si="84"/>
        <v>18888</v>
      </c>
      <c r="E451" s="614">
        <f t="shared" si="85"/>
        <v>0</v>
      </c>
      <c r="F451" s="539">
        <f t="shared" si="81"/>
        <v>0</v>
      </c>
      <c r="G451" s="540">
        <v>0</v>
      </c>
      <c r="H451" s="540">
        <v>0</v>
      </c>
      <c r="I451" s="541">
        <f t="shared" si="82"/>
        <v>0</v>
      </c>
      <c r="J451" s="542" t="s">
        <v>865</v>
      </c>
    </row>
    <row r="452" spans="1:10" ht="45">
      <c r="A452" s="534">
        <v>5</v>
      </c>
      <c r="B452" s="672" t="s">
        <v>739</v>
      </c>
      <c r="C452" s="536">
        <v>0.07</v>
      </c>
      <c r="D452" s="537">
        <f t="shared" si="84"/>
        <v>16527</v>
      </c>
      <c r="E452" s="614">
        <f t="shared" si="85"/>
        <v>0</v>
      </c>
      <c r="F452" s="539">
        <f t="shared" si="81"/>
        <v>0</v>
      </c>
      <c r="G452" s="540">
        <v>0</v>
      </c>
      <c r="H452" s="540">
        <v>0</v>
      </c>
      <c r="I452" s="541">
        <f t="shared" si="82"/>
        <v>0</v>
      </c>
      <c r="J452" s="542" t="s">
        <v>865</v>
      </c>
    </row>
    <row r="453" spans="1:10" ht="15.75">
      <c r="A453" s="534">
        <v>6</v>
      </c>
      <c r="B453" s="672" t="s">
        <v>740</v>
      </c>
      <c r="C453" s="536">
        <v>0.42</v>
      </c>
      <c r="D453" s="537">
        <f t="shared" si="84"/>
        <v>99162</v>
      </c>
      <c r="E453" s="614">
        <f t="shared" si="85"/>
        <v>39664.8</v>
      </c>
      <c r="F453" s="539">
        <f t="shared" si="81"/>
        <v>0.4</v>
      </c>
      <c r="G453" s="540">
        <v>39664.8</v>
      </c>
      <c r="H453" s="540">
        <v>0</v>
      </c>
      <c r="I453" s="541">
        <f t="shared" si="82"/>
        <v>0</v>
      </c>
      <c r="J453" s="542" t="s">
        <v>865</v>
      </c>
    </row>
    <row r="454" spans="1:10" ht="30">
      <c r="A454" s="534">
        <v>7</v>
      </c>
      <c r="B454" s="672" t="s">
        <v>741</v>
      </c>
      <c r="C454" s="536">
        <v>0.02</v>
      </c>
      <c r="D454" s="537">
        <f t="shared" si="84"/>
        <v>4722</v>
      </c>
      <c r="E454" s="614">
        <f>SUM(E455:E456)</f>
        <v>0</v>
      </c>
      <c r="F454" s="539">
        <f t="shared" si="81"/>
        <v>0</v>
      </c>
      <c r="G454" s="540">
        <f>SUM(G455:G456)</f>
        <v>0</v>
      </c>
      <c r="H454" s="540">
        <f>SUM(H455:H456)</f>
        <v>0</v>
      </c>
      <c r="I454" s="541">
        <f t="shared" si="82"/>
        <v>0</v>
      </c>
      <c r="J454" s="675" t="s">
        <v>865</v>
      </c>
    </row>
    <row r="455" spans="1:10" ht="30">
      <c r="A455" s="544" t="s">
        <v>566</v>
      </c>
      <c r="B455" s="676" t="s">
        <v>742</v>
      </c>
      <c r="C455" s="656">
        <f>+D455/D454</f>
        <v>0.5</v>
      </c>
      <c r="D455" s="636">
        <f>+D454*0.5</f>
        <v>2361</v>
      </c>
      <c r="E455" s="615">
        <f aca="true" t="shared" si="86" ref="E455:E461">G455+H455</f>
        <v>0</v>
      </c>
      <c r="F455" s="530">
        <f t="shared" si="81"/>
        <v>0</v>
      </c>
      <c r="G455" s="531">
        <v>0</v>
      </c>
      <c r="H455" s="531">
        <v>0</v>
      </c>
      <c r="I455" s="550">
        <f t="shared" si="82"/>
        <v>0</v>
      </c>
      <c r="J455" s="533" t="s">
        <v>865</v>
      </c>
    </row>
    <row r="456" spans="1:10" ht="45">
      <c r="A456" s="544" t="s">
        <v>576</v>
      </c>
      <c r="B456" s="676" t="s">
        <v>743</v>
      </c>
      <c r="C456" s="656">
        <f>+D456/D454</f>
        <v>0.5</v>
      </c>
      <c r="D456" s="636">
        <v>2361</v>
      </c>
      <c r="E456" s="615">
        <f t="shared" si="86"/>
        <v>0</v>
      </c>
      <c r="F456" s="530">
        <f t="shared" si="81"/>
        <v>0</v>
      </c>
      <c r="G456" s="531">
        <v>0</v>
      </c>
      <c r="H456" s="531">
        <v>0</v>
      </c>
      <c r="I456" s="550">
        <f t="shared" si="82"/>
        <v>0</v>
      </c>
      <c r="J456" s="533" t="s">
        <v>865</v>
      </c>
    </row>
    <row r="457" spans="1:10" ht="31.5">
      <c r="A457" s="605" t="s">
        <v>744</v>
      </c>
      <c r="B457" s="671" t="s">
        <v>745</v>
      </c>
      <c r="C457" s="655" t="s">
        <v>746</v>
      </c>
      <c r="D457" s="608">
        <f>D1*1.3%</f>
        <v>511550.00000000006</v>
      </c>
      <c r="E457" s="609">
        <f t="shared" si="86"/>
        <v>511550</v>
      </c>
      <c r="F457" s="610">
        <f t="shared" si="81"/>
        <v>0.9999999999999999</v>
      </c>
      <c r="G457" s="611">
        <f>SUM(G458:G461)</f>
        <v>511550</v>
      </c>
      <c r="H457" s="677">
        <f>SUM(H458:H461)</f>
        <v>0</v>
      </c>
      <c r="I457" s="612">
        <f t="shared" si="82"/>
        <v>0</v>
      </c>
      <c r="J457" s="678" t="s">
        <v>903</v>
      </c>
    </row>
    <row r="458" spans="1:10" ht="15.75">
      <c r="A458" s="534">
        <v>1</v>
      </c>
      <c r="B458" s="672" t="s">
        <v>747</v>
      </c>
      <c r="C458" s="536">
        <v>0.72</v>
      </c>
      <c r="D458" s="537">
        <f aca="true" t="shared" si="87" ref="D458:D461">$D$457*C458</f>
        <v>368316</v>
      </c>
      <c r="E458" s="614">
        <f t="shared" si="86"/>
        <v>368316</v>
      </c>
      <c r="F458" s="539">
        <f t="shared" si="81"/>
        <v>1</v>
      </c>
      <c r="G458" s="540">
        <v>368316</v>
      </c>
      <c r="H458" s="674">
        <v>0</v>
      </c>
      <c r="I458" s="541">
        <f t="shared" si="82"/>
        <v>0</v>
      </c>
      <c r="J458" s="675" t="s">
        <v>903</v>
      </c>
    </row>
    <row r="459" spans="1:10" ht="15.75">
      <c r="A459" s="534">
        <v>2</v>
      </c>
      <c r="B459" s="672" t="s">
        <v>748</v>
      </c>
      <c r="C459" s="536">
        <v>0.21</v>
      </c>
      <c r="D459" s="537">
        <f t="shared" si="87"/>
        <v>107425.50000000001</v>
      </c>
      <c r="E459" s="614">
        <f t="shared" si="86"/>
        <v>107425.5</v>
      </c>
      <c r="F459" s="539">
        <f t="shared" si="81"/>
        <v>0.9999999999999999</v>
      </c>
      <c r="G459" s="540">
        <v>107425.5</v>
      </c>
      <c r="H459" s="674">
        <v>0</v>
      </c>
      <c r="I459" s="541">
        <f t="shared" si="82"/>
        <v>0</v>
      </c>
      <c r="J459" s="675" t="s">
        <v>903</v>
      </c>
    </row>
    <row r="460" spans="1:10" ht="15.75">
      <c r="A460" s="534">
        <v>3</v>
      </c>
      <c r="B460" s="672" t="s">
        <v>749</v>
      </c>
      <c r="C460" s="679">
        <v>0.005</v>
      </c>
      <c r="D460" s="537">
        <f t="shared" si="87"/>
        <v>2557.7500000000005</v>
      </c>
      <c r="E460" s="614">
        <f t="shared" si="86"/>
        <v>2557.75</v>
      </c>
      <c r="F460" s="539">
        <f t="shared" si="81"/>
        <v>0.9999999999999998</v>
      </c>
      <c r="G460" s="540">
        <v>2557.75</v>
      </c>
      <c r="H460" s="674">
        <v>0</v>
      </c>
      <c r="I460" s="541">
        <f t="shared" si="82"/>
        <v>0</v>
      </c>
      <c r="J460" s="675" t="s">
        <v>904</v>
      </c>
    </row>
    <row r="461" spans="1:10" ht="30">
      <c r="A461" s="680">
        <v>4</v>
      </c>
      <c r="B461" s="681" t="s">
        <v>741</v>
      </c>
      <c r="C461" s="682">
        <v>0.065</v>
      </c>
      <c r="D461" s="683">
        <f t="shared" si="87"/>
        <v>33250.75000000001</v>
      </c>
      <c r="E461" s="684">
        <f t="shared" si="86"/>
        <v>33250.75</v>
      </c>
      <c r="F461" s="685">
        <f t="shared" si="81"/>
        <v>0.9999999999999998</v>
      </c>
      <c r="G461" s="686">
        <v>33250.75</v>
      </c>
      <c r="H461" s="687">
        <v>0</v>
      </c>
      <c r="I461" s="688">
        <f t="shared" si="82"/>
        <v>0</v>
      </c>
      <c r="J461" s="689" t="s">
        <v>903</v>
      </c>
    </row>
    <row r="462" spans="1:10" ht="15.75" customHeight="1">
      <c r="A462" s="690" t="s">
        <v>905</v>
      </c>
      <c r="B462" s="690"/>
      <c r="C462" s="690"/>
      <c r="D462" s="554">
        <f>D5+D119+D253+D329+D341+D352+D385+D396+D399+D418+D424+D447+D457</f>
        <v>38248200</v>
      </c>
      <c r="E462" s="531">
        <f>E457+E447+E424+E418+E399+E396+E385+E352+E341+E329+E253+E119+E5-0.01</f>
        <v>38051765.67</v>
      </c>
      <c r="F462" s="578">
        <f t="shared" si="81"/>
        <v>0.9948642202770327</v>
      </c>
      <c r="G462" s="531">
        <f>G457+G447+G424+G418+G399+G396+G385+G352+G341+G329+G253+G119+G5-0.01</f>
        <v>34686907.39</v>
      </c>
      <c r="H462" s="531">
        <f>H457+H447+H424+H418+H399+H396+H385+H352+H341+H329+H253+H119+H5</f>
        <v>3364858.28</v>
      </c>
      <c r="I462" s="550">
        <f t="shared" si="82"/>
        <v>0.08797429107775005</v>
      </c>
      <c r="J462" s="691"/>
    </row>
    <row r="463" spans="1:10" ht="39" customHeight="1">
      <c r="A463" s="692" t="s">
        <v>906</v>
      </c>
      <c r="B463" s="692"/>
      <c r="C463" s="692"/>
      <c r="D463" s="693">
        <f>'[1]Załacznik nr 1 '!D5</f>
        <v>1101800</v>
      </c>
      <c r="E463" s="694">
        <f>+Załącznik1!E5</f>
        <v>958530.01</v>
      </c>
      <c r="F463" s="695">
        <f t="shared" si="81"/>
        <v>0.8699673352695589</v>
      </c>
      <c r="G463" s="694">
        <f>+Załącznik1!G5</f>
        <v>958530.01</v>
      </c>
      <c r="H463" s="694">
        <f>+Załącznik1!H5</f>
        <v>0</v>
      </c>
      <c r="I463" s="695">
        <f t="shared" si="82"/>
        <v>0</v>
      </c>
      <c r="J463" s="696"/>
    </row>
    <row r="464" spans="1:10" ht="16.5" customHeight="1">
      <c r="A464" s="697" t="s">
        <v>907</v>
      </c>
      <c r="B464" s="697"/>
      <c r="C464" s="697"/>
      <c r="D464" s="698">
        <f>D462+D463</f>
        <v>39350000</v>
      </c>
      <c r="E464" s="699">
        <f>+G464+H464</f>
        <v>39010295.68</v>
      </c>
      <c r="F464" s="700">
        <f t="shared" si="81"/>
        <v>0.9913671074968233</v>
      </c>
      <c r="G464" s="699">
        <f>G462+G463</f>
        <v>35645437.4</v>
      </c>
      <c r="H464" s="699">
        <f>H462+H463</f>
        <v>3364858.28</v>
      </c>
      <c r="I464" s="700">
        <f t="shared" si="82"/>
        <v>0.08551101092757306</v>
      </c>
      <c r="J464" s="701"/>
    </row>
    <row r="466" spans="5:8" ht="15">
      <c r="E466" s="702"/>
      <c r="G466" s="703"/>
      <c r="H466" s="704"/>
    </row>
    <row r="467" ht="15">
      <c r="G467" s="616"/>
    </row>
    <row r="468" ht="15">
      <c r="E468" s="705"/>
    </row>
    <row r="469" ht="15">
      <c r="E469" s="705"/>
    </row>
  </sheetData>
  <sheetProtection selectLockedCells="1" selectUnlockedCells="1"/>
  <mergeCells count="4">
    <mergeCell ref="A2:J2"/>
    <mergeCell ref="A462:C462"/>
    <mergeCell ref="A463:C463"/>
    <mergeCell ref="A464:C464"/>
  </mergeCells>
  <printOptions horizontalCentered="1"/>
  <pageMargins left="0.7083333333333334" right="0.7083333333333334" top="0.5902777777777778" bottom="0" header="0.5118055555555555" footer="0.5118055555555555"/>
  <pageSetup fitToHeight="0" fitToWidth="1"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49" sqref="J49"/>
    </sheetView>
  </sheetViews>
  <sheetFormatPr defaultColWidth="9.140625" defaultRowHeight="15"/>
  <cols>
    <col min="2" max="2" width="22.57421875" style="0" customWidth="1"/>
    <col min="3" max="3" width="23.28125" style="0" customWidth="1"/>
    <col min="4" max="4" width="21.8515625" style="0" customWidth="1"/>
    <col min="5" max="5" width="21.7109375" style="0" customWidth="1"/>
    <col min="6" max="6" width="24.00390625" style="0" customWidth="1"/>
    <col min="7" max="7" width="23.421875" style="0" customWidth="1"/>
    <col min="8" max="8" width="28.7109375" style="0" customWidth="1"/>
    <col min="9" max="9" width="29.421875" style="0" customWidth="1"/>
    <col min="10" max="10" width="17.8515625" style="0" customWidth="1"/>
  </cols>
  <sheetData>
    <row r="1" spans="1:10" ht="15">
      <c r="A1" s="706"/>
      <c r="B1" s="706"/>
      <c r="C1" s="706"/>
      <c r="D1" s="707"/>
      <c r="E1" s="706"/>
      <c r="F1" s="706"/>
      <c r="G1" s="708"/>
      <c r="H1" s="706"/>
      <c r="I1" s="706"/>
      <c r="J1" s="706"/>
    </row>
    <row r="2" spans="1:10" ht="21.75" customHeight="1">
      <c r="A2" s="709" t="s">
        <v>908</v>
      </c>
      <c r="B2" s="709"/>
      <c r="C2" s="709"/>
      <c r="D2" s="709"/>
      <c r="E2" s="709"/>
      <c r="F2" s="709"/>
      <c r="G2" s="709"/>
      <c r="H2" s="709"/>
      <c r="I2" s="709"/>
      <c r="J2" s="709"/>
    </row>
    <row r="3" spans="1:10" ht="63">
      <c r="A3" s="710" t="s">
        <v>758</v>
      </c>
      <c r="B3" s="711" t="s">
        <v>759</v>
      </c>
      <c r="C3" s="711"/>
      <c r="D3" s="711" t="s">
        <v>760</v>
      </c>
      <c r="E3" s="712" t="s">
        <v>849</v>
      </c>
      <c r="F3" s="712" t="s">
        <v>850</v>
      </c>
      <c r="G3" s="712" t="s">
        <v>851</v>
      </c>
      <c r="H3" s="711" t="s">
        <v>852</v>
      </c>
      <c r="I3" s="711" t="s">
        <v>853</v>
      </c>
      <c r="J3" s="713" t="s">
        <v>854</v>
      </c>
    </row>
    <row r="4" spans="1:10" ht="15">
      <c r="A4" s="714" t="s">
        <v>855</v>
      </c>
      <c r="B4" s="715" t="s">
        <v>856</v>
      </c>
      <c r="C4" s="714" t="s">
        <v>857</v>
      </c>
      <c r="D4" s="715" t="s">
        <v>858</v>
      </c>
      <c r="E4" s="714" t="s">
        <v>859</v>
      </c>
      <c r="F4" s="715" t="s">
        <v>860</v>
      </c>
      <c r="G4" s="714" t="s">
        <v>861</v>
      </c>
      <c r="H4" s="715" t="s">
        <v>862</v>
      </c>
      <c r="I4" s="714" t="s">
        <v>863</v>
      </c>
      <c r="J4" s="715" t="s">
        <v>864</v>
      </c>
    </row>
    <row r="5" spans="1:10" ht="22.5">
      <c r="A5" s="716" t="s">
        <v>6</v>
      </c>
      <c r="B5" s="717" t="s">
        <v>7</v>
      </c>
      <c r="C5" s="718" t="s">
        <v>8</v>
      </c>
      <c r="D5" s="719">
        <f>0.028*39350000</f>
        <v>1101800</v>
      </c>
      <c r="E5" s="719">
        <f>+E6+E35+E40+E43+E44+E45+E46+E47+E48</f>
        <v>958530.01</v>
      </c>
      <c r="F5" s="720">
        <f aca="true" t="shared" si="0" ref="F5:F32">E5/D5</f>
        <v>0.8699673352695589</v>
      </c>
      <c r="G5" s="719">
        <f>+G6+G35+G40+G43+G44+G45+G46+G47+G48</f>
        <v>958530.01</v>
      </c>
      <c r="H5" s="719">
        <f>+H6+H7+H12+H35+H40+H43+H44+H45+H46+H47+H48</f>
        <v>0</v>
      </c>
      <c r="I5" s="720">
        <f aca="true" t="shared" si="1" ref="I5:I32">H5/D5</f>
        <v>0</v>
      </c>
      <c r="J5" s="721"/>
    </row>
    <row r="6" spans="1:10" ht="33.75">
      <c r="A6" s="722">
        <v>1</v>
      </c>
      <c r="B6" s="723" t="s">
        <v>909</v>
      </c>
      <c r="C6" s="724">
        <v>0.35</v>
      </c>
      <c r="D6" s="725">
        <f>$D$5*C6</f>
        <v>385630</v>
      </c>
      <c r="E6" s="726">
        <f>E7+E12</f>
        <v>385630.01</v>
      </c>
      <c r="F6" s="727">
        <f t="shared" si="0"/>
        <v>1.0000000259315924</v>
      </c>
      <c r="G6" s="726">
        <f>G7+G12</f>
        <v>385630.01</v>
      </c>
      <c r="H6" s="726">
        <v>0</v>
      </c>
      <c r="I6" s="727">
        <f t="shared" si="1"/>
        <v>0</v>
      </c>
      <c r="J6" s="728"/>
    </row>
    <row r="7" spans="1:10" ht="22.5">
      <c r="A7" s="729" t="s">
        <v>10</v>
      </c>
      <c r="B7" s="730" t="s">
        <v>11</v>
      </c>
      <c r="C7" s="731">
        <v>0.25</v>
      </c>
      <c r="D7" s="732">
        <f>+C7*D6</f>
        <v>96407.5</v>
      </c>
      <c r="E7" s="733">
        <f aca="true" t="shared" si="2" ref="E7:E30">G7+H7</f>
        <v>96407.51000000001</v>
      </c>
      <c r="F7" s="734">
        <f t="shared" si="0"/>
        <v>1.00000010372637</v>
      </c>
      <c r="G7" s="733">
        <f>+G8+G9+G10+G11</f>
        <v>96407.51000000001</v>
      </c>
      <c r="H7" s="733">
        <v>0</v>
      </c>
      <c r="I7" s="734">
        <f t="shared" si="1"/>
        <v>0</v>
      </c>
      <c r="J7" s="735" t="s">
        <v>910</v>
      </c>
    </row>
    <row r="8" spans="1:10" ht="15">
      <c r="A8" s="729" t="s">
        <v>12</v>
      </c>
      <c r="B8" s="730" t="s">
        <v>13</v>
      </c>
      <c r="C8" s="731">
        <v>0.5</v>
      </c>
      <c r="D8" s="732">
        <f aca="true" t="shared" si="3" ref="D8:D11">+C8*$D$7</f>
        <v>48203.75</v>
      </c>
      <c r="E8" s="733">
        <f t="shared" si="2"/>
        <v>48203.75</v>
      </c>
      <c r="F8" s="734">
        <f t="shared" si="0"/>
        <v>1</v>
      </c>
      <c r="G8" s="733">
        <v>48203.75</v>
      </c>
      <c r="H8" s="733">
        <v>0</v>
      </c>
      <c r="I8" s="734">
        <f t="shared" si="1"/>
        <v>0</v>
      </c>
      <c r="J8" s="735" t="s">
        <v>910</v>
      </c>
    </row>
    <row r="9" spans="1:10" ht="15">
      <c r="A9" s="729" t="s">
        <v>14</v>
      </c>
      <c r="B9" s="730" t="s">
        <v>15</v>
      </c>
      <c r="C9" s="731">
        <v>0.3</v>
      </c>
      <c r="D9" s="732">
        <f t="shared" si="3"/>
        <v>28922.25</v>
      </c>
      <c r="E9" s="733">
        <f t="shared" si="2"/>
        <v>28922.25</v>
      </c>
      <c r="F9" s="734">
        <f t="shared" si="0"/>
        <v>1</v>
      </c>
      <c r="G9" s="733">
        <v>28922.25</v>
      </c>
      <c r="H9" s="733">
        <v>0</v>
      </c>
      <c r="I9" s="734">
        <f t="shared" si="1"/>
        <v>0</v>
      </c>
      <c r="J9" s="735" t="s">
        <v>910</v>
      </c>
    </row>
    <row r="10" spans="1:10" ht="15">
      <c r="A10" s="729" t="s">
        <v>16</v>
      </c>
      <c r="B10" s="730" t="s">
        <v>17</v>
      </c>
      <c r="C10" s="731">
        <v>0.15</v>
      </c>
      <c r="D10" s="732">
        <f t="shared" si="3"/>
        <v>14461.125</v>
      </c>
      <c r="E10" s="733">
        <f t="shared" si="2"/>
        <v>14461.13</v>
      </c>
      <c r="F10" s="734">
        <f t="shared" si="0"/>
        <v>1.000000345754566</v>
      </c>
      <c r="G10" s="733">
        <v>14461.13</v>
      </c>
      <c r="H10" s="733">
        <v>0</v>
      </c>
      <c r="I10" s="734">
        <f t="shared" si="1"/>
        <v>0</v>
      </c>
      <c r="J10" s="735" t="s">
        <v>910</v>
      </c>
    </row>
    <row r="11" spans="1:10" ht="15">
      <c r="A11" s="729" t="s">
        <v>18</v>
      </c>
      <c r="B11" s="730" t="s">
        <v>19</v>
      </c>
      <c r="C11" s="731">
        <v>0.05</v>
      </c>
      <c r="D11" s="732">
        <f t="shared" si="3"/>
        <v>4820.375</v>
      </c>
      <c r="E11" s="733">
        <f t="shared" si="2"/>
        <v>4820.38</v>
      </c>
      <c r="F11" s="734">
        <f t="shared" si="0"/>
        <v>1.0000010372636985</v>
      </c>
      <c r="G11" s="733">
        <v>4820.38</v>
      </c>
      <c r="H11" s="733">
        <v>0</v>
      </c>
      <c r="I11" s="734">
        <f t="shared" si="1"/>
        <v>0</v>
      </c>
      <c r="J11" s="735" t="s">
        <v>910</v>
      </c>
    </row>
    <row r="12" spans="1:10" ht="15">
      <c r="A12" s="729" t="s">
        <v>20</v>
      </c>
      <c r="B12" s="730" t="s">
        <v>21</v>
      </c>
      <c r="C12" s="731">
        <v>0.75</v>
      </c>
      <c r="D12" s="732">
        <f>+C12*D6</f>
        <v>289222.5</v>
      </c>
      <c r="E12" s="733">
        <f t="shared" si="2"/>
        <v>289222.5</v>
      </c>
      <c r="F12" s="734">
        <f t="shared" si="0"/>
        <v>1</v>
      </c>
      <c r="G12" s="733">
        <f>SUM(G13:G34)</f>
        <v>289222.5</v>
      </c>
      <c r="H12" s="733">
        <v>0</v>
      </c>
      <c r="I12" s="734">
        <f t="shared" si="1"/>
        <v>0</v>
      </c>
      <c r="J12" s="735" t="s">
        <v>911</v>
      </c>
    </row>
    <row r="13" spans="1:10" ht="15">
      <c r="A13" s="729" t="s">
        <v>22</v>
      </c>
      <c r="B13" s="730" t="s">
        <v>23</v>
      </c>
      <c r="C13" s="731">
        <f aca="true" t="shared" si="4" ref="C13:C32">+D13/$D$12</f>
        <v>0.1210140981424336</v>
      </c>
      <c r="D13" s="736">
        <v>35000</v>
      </c>
      <c r="E13" s="733">
        <f t="shared" si="2"/>
        <v>35000</v>
      </c>
      <c r="F13" s="734">
        <f t="shared" si="0"/>
        <v>1</v>
      </c>
      <c r="G13" s="737">
        <v>35000</v>
      </c>
      <c r="H13" s="733">
        <v>0</v>
      </c>
      <c r="I13" s="734">
        <f t="shared" si="1"/>
        <v>0</v>
      </c>
      <c r="J13" s="735" t="s">
        <v>912</v>
      </c>
    </row>
    <row r="14" spans="1:10" ht="15">
      <c r="A14" s="729" t="s">
        <v>24</v>
      </c>
      <c r="B14" s="730" t="s">
        <v>25</v>
      </c>
      <c r="C14" s="731">
        <f t="shared" si="4"/>
        <v>0.051863184918185826</v>
      </c>
      <c r="D14" s="736">
        <v>15000</v>
      </c>
      <c r="E14" s="733">
        <f t="shared" si="2"/>
        <v>15000</v>
      </c>
      <c r="F14" s="734">
        <f t="shared" si="0"/>
        <v>1</v>
      </c>
      <c r="G14" s="737">
        <v>15000</v>
      </c>
      <c r="H14" s="733">
        <v>0</v>
      </c>
      <c r="I14" s="734">
        <f t="shared" si="1"/>
        <v>0</v>
      </c>
      <c r="J14" s="735" t="s">
        <v>912</v>
      </c>
    </row>
    <row r="15" spans="1:10" ht="15">
      <c r="A15" s="729" t="s">
        <v>26</v>
      </c>
      <c r="B15" s="730" t="s">
        <v>27</v>
      </c>
      <c r="C15" s="731">
        <f t="shared" si="4"/>
        <v>0.024202819628486718</v>
      </c>
      <c r="D15" s="736">
        <v>7000</v>
      </c>
      <c r="E15" s="733">
        <f t="shared" si="2"/>
        <v>7000</v>
      </c>
      <c r="F15" s="734">
        <f t="shared" si="0"/>
        <v>1</v>
      </c>
      <c r="G15" s="737">
        <v>7000</v>
      </c>
      <c r="H15" s="733">
        <v>0</v>
      </c>
      <c r="I15" s="734">
        <f t="shared" si="1"/>
        <v>0</v>
      </c>
      <c r="J15" s="735" t="s">
        <v>912</v>
      </c>
    </row>
    <row r="16" spans="1:10" ht="15">
      <c r="A16" s="729" t="s">
        <v>28</v>
      </c>
      <c r="B16" s="730" t="s">
        <v>29</v>
      </c>
      <c r="C16" s="731">
        <f t="shared" si="4"/>
        <v>0.027660365289699108</v>
      </c>
      <c r="D16" s="736">
        <v>8000</v>
      </c>
      <c r="E16" s="733">
        <f t="shared" si="2"/>
        <v>8000</v>
      </c>
      <c r="F16" s="734">
        <f t="shared" si="0"/>
        <v>1</v>
      </c>
      <c r="G16" s="737">
        <v>8000</v>
      </c>
      <c r="H16" s="733">
        <v>0</v>
      </c>
      <c r="I16" s="734">
        <f t="shared" si="1"/>
        <v>0</v>
      </c>
      <c r="J16" s="735" t="s">
        <v>912</v>
      </c>
    </row>
    <row r="17" spans="1:10" ht="15">
      <c r="A17" s="729" t="s">
        <v>30</v>
      </c>
      <c r="B17" s="730" t="s">
        <v>31</v>
      </c>
      <c r="C17" s="731">
        <f t="shared" si="4"/>
        <v>0.04149054793454866</v>
      </c>
      <c r="D17" s="736">
        <v>12000</v>
      </c>
      <c r="E17" s="733">
        <f t="shared" si="2"/>
        <v>12000</v>
      </c>
      <c r="F17" s="734">
        <f t="shared" si="0"/>
        <v>1</v>
      </c>
      <c r="G17" s="737">
        <v>12000</v>
      </c>
      <c r="H17" s="733">
        <v>0</v>
      </c>
      <c r="I17" s="734">
        <f t="shared" si="1"/>
        <v>0</v>
      </c>
      <c r="J17" s="735" t="s">
        <v>912</v>
      </c>
    </row>
    <row r="18" spans="1:10" ht="22.5">
      <c r="A18" s="729" t="s">
        <v>32</v>
      </c>
      <c r="B18" s="730" t="s">
        <v>33</v>
      </c>
      <c r="C18" s="731">
        <f t="shared" si="4"/>
        <v>0.027660365289699108</v>
      </c>
      <c r="D18" s="736">
        <v>8000</v>
      </c>
      <c r="E18" s="733">
        <f t="shared" si="2"/>
        <v>8000</v>
      </c>
      <c r="F18" s="734">
        <f t="shared" si="0"/>
        <v>1</v>
      </c>
      <c r="G18" s="737">
        <v>8000</v>
      </c>
      <c r="H18" s="733">
        <v>0</v>
      </c>
      <c r="I18" s="734">
        <f t="shared" si="1"/>
        <v>0</v>
      </c>
      <c r="J18" s="735" t="s">
        <v>912</v>
      </c>
    </row>
    <row r="19" spans="1:10" ht="22.5">
      <c r="A19" s="729" t="s">
        <v>34</v>
      </c>
      <c r="B19" s="730" t="s">
        <v>35</v>
      </c>
      <c r="C19" s="731">
        <f t="shared" si="4"/>
        <v>0.04149054793454866</v>
      </c>
      <c r="D19" s="736">
        <v>12000</v>
      </c>
      <c r="E19" s="733">
        <f t="shared" si="2"/>
        <v>12000</v>
      </c>
      <c r="F19" s="734">
        <f t="shared" si="0"/>
        <v>1</v>
      </c>
      <c r="G19" s="737">
        <v>12000</v>
      </c>
      <c r="H19" s="733">
        <v>0</v>
      </c>
      <c r="I19" s="734">
        <f t="shared" si="1"/>
        <v>0</v>
      </c>
      <c r="J19" s="735" t="s">
        <v>912</v>
      </c>
    </row>
    <row r="20" spans="1:10" ht="22.5">
      <c r="A20" s="729" t="s">
        <v>36</v>
      </c>
      <c r="B20" s="730" t="s">
        <v>37</v>
      </c>
      <c r="C20" s="731">
        <f t="shared" si="4"/>
        <v>0.1210140981424336</v>
      </c>
      <c r="D20" s="736">
        <v>35000</v>
      </c>
      <c r="E20" s="733">
        <f t="shared" si="2"/>
        <v>35000</v>
      </c>
      <c r="F20" s="734">
        <f t="shared" si="0"/>
        <v>1</v>
      </c>
      <c r="G20" s="737">
        <v>35000</v>
      </c>
      <c r="H20" s="733">
        <v>0</v>
      </c>
      <c r="I20" s="734">
        <f t="shared" si="1"/>
        <v>0</v>
      </c>
      <c r="J20" s="735" t="s">
        <v>912</v>
      </c>
    </row>
    <row r="21" spans="1:10" ht="22.5">
      <c r="A21" s="729" t="s">
        <v>38</v>
      </c>
      <c r="B21" s="730" t="s">
        <v>39</v>
      </c>
      <c r="C21" s="731">
        <f t="shared" si="4"/>
        <v>0.051863184918185826</v>
      </c>
      <c r="D21" s="736">
        <v>15000</v>
      </c>
      <c r="E21" s="733">
        <f t="shared" si="2"/>
        <v>15000</v>
      </c>
      <c r="F21" s="734">
        <f t="shared" si="0"/>
        <v>1</v>
      </c>
      <c r="G21" s="737">
        <v>15000</v>
      </c>
      <c r="H21" s="733">
        <v>0</v>
      </c>
      <c r="I21" s="734">
        <f t="shared" si="1"/>
        <v>0</v>
      </c>
      <c r="J21" s="735" t="s">
        <v>912</v>
      </c>
    </row>
    <row r="22" spans="1:10" ht="15">
      <c r="A22" s="729" t="s">
        <v>40</v>
      </c>
      <c r="B22" s="730" t="s">
        <v>41</v>
      </c>
      <c r="C22" s="731">
        <f t="shared" si="4"/>
        <v>0.1210140981424336</v>
      </c>
      <c r="D22" s="736">
        <v>35000</v>
      </c>
      <c r="E22" s="733">
        <f t="shared" si="2"/>
        <v>35000</v>
      </c>
      <c r="F22" s="734">
        <f t="shared" si="0"/>
        <v>1</v>
      </c>
      <c r="G22" s="737">
        <v>35000</v>
      </c>
      <c r="H22" s="733">
        <v>0</v>
      </c>
      <c r="I22" s="734">
        <f t="shared" si="1"/>
        <v>0</v>
      </c>
      <c r="J22" s="735" t="s">
        <v>912</v>
      </c>
    </row>
    <row r="23" spans="1:10" ht="15">
      <c r="A23" s="729" t="s">
        <v>42</v>
      </c>
      <c r="B23" s="730" t="s">
        <v>43</v>
      </c>
      <c r="C23" s="731">
        <f t="shared" si="4"/>
        <v>0.027660365289699108</v>
      </c>
      <c r="D23" s="736">
        <v>8000</v>
      </c>
      <c r="E23" s="733">
        <f t="shared" si="2"/>
        <v>8000</v>
      </c>
      <c r="F23" s="734">
        <f t="shared" si="0"/>
        <v>1</v>
      </c>
      <c r="G23" s="737">
        <v>8000</v>
      </c>
      <c r="H23" s="733">
        <v>0</v>
      </c>
      <c r="I23" s="734">
        <f t="shared" si="1"/>
        <v>0</v>
      </c>
      <c r="J23" s="735" t="s">
        <v>912</v>
      </c>
    </row>
    <row r="24" spans="1:10" ht="15">
      <c r="A24" s="729" t="s">
        <v>44</v>
      </c>
      <c r="B24" s="730" t="s">
        <v>45</v>
      </c>
      <c r="C24" s="731">
        <f t="shared" si="4"/>
        <v>0.027660365289699108</v>
      </c>
      <c r="D24" s="736">
        <v>8000</v>
      </c>
      <c r="E24" s="733">
        <f t="shared" si="2"/>
        <v>8000</v>
      </c>
      <c r="F24" s="734">
        <f t="shared" si="0"/>
        <v>1</v>
      </c>
      <c r="G24" s="737">
        <v>8000</v>
      </c>
      <c r="H24" s="733">
        <v>0</v>
      </c>
      <c r="I24" s="734">
        <f t="shared" si="1"/>
        <v>0</v>
      </c>
      <c r="J24" s="735" t="s">
        <v>912</v>
      </c>
    </row>
    <row r="25" spans="1:10" ht="22.5">
      <c r="A25" s="729" t="s">
        <v>46</v>
      </c>
      <c r="B25" s="730" t="s">
        <v>47</v>
      </c>
      <c r="C25" s="731">
        <f t="shared" si="4"/>
        <v>0.04149054793454866</v>
      </c>
      <c r="D25" s="736">
        <v>12000</v>
      </c>
      <c r="E25" s="733">
        <f t="shared" si="2"/>
        <v>12000</v>
      </c>
      <c r="F25" s="734">
        <f t="shared" si="0"/>
        <v>1</v>
      </c>
      <c r="G25" s="737">
        <v>12000</v>
      </c>
      <c r="H25" s="733">
        <v>0</v>
      </c>
      <c r="I25" s="734">
        <f t="shared" si="1"/>
        <v>0</v>
      </c>
      <c r="J25" s="735" t="s">
        <v>912</v>
      </c>
    </row>
    <row r="26" spans="1:10" ht="22.5">
      <c r="A26" s="729" t="s">
        <v>48</v>
      </c>
      <c r="B26" s="730" t="s">
        <v>49</v>
      </c>
      <c r="C26" s="731">
        <f t="shared" si="4"/>
        <v>0.027660365289699108</v>
      </c>
      <c r="D26" s="736">
        <v>8000</v>
      </c>
      <c r="E26" s="733">
        <f t="shared" si="2"/>
        <v>8000</v>
      </c>
      <c r="F26" s="734">
        <f t="shared" si="0"/>
        <v>1</v>
      </c>
      <c r="G26" s="737">
        <v>8000</v>
      </c>
      <c r="H26" s="733">
        <v>0</v>
      </c>
      <c r="I26" s="734">
        <f t="shared" si="1"/>
        <v>0</v>
      </c>
      <c r="J26" s="735" t="s">
        <v>912</v>
      </c>
    </row>
    <row r="27" spans="1:10" ht="15">
      <c r="A27" s="729" t="s">
        <v>50</v>
      </c>
      <c r="B27" s="730" t="s">
        <v>51</v>
      </c>
      <c r="C27" s="731">
        <f t="shared" si="4"/>
        <v>0.034575456612123884</v>
      </c>
      <c r="D27" s="736">
        <v>10000</v>
      </c>
      <c r="E27" s="733">
        <f t="shared" si="2"/>
        <v>10000</v>
      </c>
      <c r="F27" s="734">
        <f t="shared" si="0"/>
        <v>1</v>
      </c>
      <c r="G27" s="737">
        <v>10000</v>
      </c>
      <c r="H27" s="733">
        <v>0</v>
      </c>
      <c r="I27" s="734">
        <f t="shared" si="1"/>
        <v>0</v>
      </c>
      <c r="J27" s="735" t="s">
        <v>912</v>
      </c>
    </row>
    <row r="28" spans="1:10" ht="22.5">
      <c r="A28" s="729" t="s">
        <v>52</v>
      </c>
      <c r="B28" s="730" t="s">
        <v>53</v>
      </c>
      <c r="C28" s="731">
        <f t="shared" si="4"/>
        <v>0.027660365289699108</v>
      </c>
      <c r="D28" s="736">
        <v>8000</v>
      </c>
      <c r="E28" s="733">
        <f t="shared" si="2"/>
        <v>8000</v>
      </c>
      <c r="F28" s="734">
        <f t="shared" si="0"/>
        <v>1</v>
      </c>
      <c r="G28" s="737">
        <v>8000</v>
      </c>
      <c r="H28" s="733">
        <v>0</v>
      </c>
      <c r="I28" s="734">
        <f t="shared" si="1"/>
        <v>0</v>
      </c>
      <c r="J28" s="735" t="s">
        <v>912</v>
      </c>
    </row>
    <row r="29" spans="1:10" ht="15">
      <c r="A29" s="729" t="s">
        <v>54</v>
      </c>
      <c r="B29" s="730" t="s">
        <v>55</v>
      </c>
      <c r="C29" s="731">
        <f t="shared" si="4"/>
        <v>0.04149054793454866</v>
      </c>
      <c r="D29" s="736">
        <v>12000</v>
      </c>
      <c r="E29" s="733">
        <f t="shared" si="2"/>
        <v>12000</v>
      </c>
      <c r="F29" s="734">
        <f t="shared" si="0"/>
        <v>1</v>
      </c>
      <c r="G29" s="737">
        <v>12000</v>
      </c>
      <c r="H29" s="733">
        <v>0</v>
      </c>
      <c r="I29" s="734">
        <f t="shared" si="1"/>
        <v>0</v>
      </c>
      <c r="J29" s="735" t="s">
        <v>912</v>
      </c>
    </row>
    <row r="30" spans="1:10" ht="15">
      <c r="A30" s="729" t="s">
        <v>56</v>
      </c>
      <c r="B30" s="730" t="s">
        <v>57</v>
      </c>
      <c r="C30" s="731">
        <f t="shared" si="4"/>
        <v>0.051863184918185826</v>
      </c>
      <c r="D30" s="736">
        <v>15000</v>
      </c>
      <c r="E30" s="733">
        <f t="shared" si="2"/>
        <v>15000</v>
      </c>
      <c r="F30" s="734">
        <f t="shared" si="0"/>
        <v>1</v>
      </c>
      <c r="G30" s="737">
        <v>15000</v>
      </c>
      <c r="H30" s="733">
        <v>0</v>
      </c>
      <c r="I30" s="734">
        <f t="shared" si="1"/>
        <v>0</v>
      </c>
      <c r="J30" s="735" t="s">
        <v>912</v>
      </c>
    </row>
    <row r="31" spans="1:10" ht="22.5">
      <c r="A31" s="738" t="s">
        <v>58</v>
      </c>
      <c r="B31" s="739" t="s">
        <v>59</v>
      </c>
      <c r="C31" s="731">
        <f t="shared" si="4"/>
        <v>0.034575456612123884</v>
      </c>
      <c r="D31" s="740">
        <v>10000</v>
      </c>
      <c r="E31" s="741">
        <v>10000</v>
      </c>
      <c r="F31" s="734">
        <f t="shared" si="0"/>
        <v>1</v>
      </c>
      <c r="G31" s="742">
        <v>10000</v>
      </c>
      <c r="H31" s="741">
        <v>0</v>
      </c>
      <c r="I31" s="743">
        <f t="shared" si="1"/>
        <v>0</v>
      </c>
      <c r="J31" s="744" t="s">
        <v>912</v>
      </c>
    </row>
    <row r="32" spans="1:10" ht="15">
      <c r="A32" s="738" t="s">
        <v>60</v>
      </c>
      <c r="B32" s="739" t="s">
        <v>19</v>
      </c>
      <c r="C32" s="731">
        <f t="shared" si="4"/>
        <v>0.05609003448901797</v>
      </c>
      <c r="D32" s="740">
        <v>16222.5</v>
      </c>
      <c r="E32" s="741">
        <v>16222.5</v>
      </c>
      <c r="F32" s="734">
        <f t="shared" si="0"/>
        <v>1</v>
      </c>
      <c r="G32" s="742">
        <v>16222.5</v>
      </c>
      <c r="H32" s="741">
        <v>0</v>
      </c>
      <c r="I32" s="743">
        <f t="shared" si="1"/>
        <v>0</v>
      </c>
      <c r="J32" s="744" t="s">
        <v>912</v>
      </c>
    </row>
    <row r="33" spans="1:10" ht="33.75">
      <c r="A33" s="745" t="s">
        <v>758</v>
      </c>
      <c r="B33" s="746" t="s">
        <v>759</v>
      </c>
      <c r="C33" s="746"/>
      <c r="D33" s="746" t="s">
        <v>760</v>
      </c>
      <c r="E33" s="747" t="s">
        <v>849</v>
      </c>
      <c r="F33" s="747" t="s">
        <v>850</v>
      </c>
      <c r="G33" s="747" t="s">
        <v>851</v>
      </c>
      <c r="H33" s="746" t="s">
        <v>852</v>
      </c>
      <c r="I33" s="746" t="s">
        <v>853</v>
      </c>
      <c r="J33" s="748" t="s">
        <v>854</v>
      </c>
    </row>
    <row r="34" spans="1:10" ht="15">
      <c r="A34" s="714" t="s">
        <v>855</v>
      </c>
      <c r="B34" s="715" t="s">
        <v>856</v>
      </c>
      <c r="C34" s="714" t="s">
        <v>857</v>
      </c>
      <c r="D34" s="715" t="s">
        <v>858</v>
      </c>
      <c r="E34" s="714" t="s">
        <v>859</v>
      </c>
      <c r="F34" s="715" t="s">
        <v>860</v>
      </c>
      <c r="G34" s="714" t="s">
        <v>861</v>
      </c>
      <c r="H34" s="715" t="s">
        <v>862</v>
      </c>
      <c r="I34" s="714" t="s">
        <v>863</v>
      </c>
      <c r="J34" s="715" t="s">
        <v>864</v>
      </c>
    </row>
    <row r="35" spans="1:10" ht="22.5">
      <c r="A35" s="749">
        <v>2</v>
      </c>
      <c r="B35" s="750" t="s">
        <v>61</v>
      </c>
      <c r="C35" s="751">
        <v>0.2</v>
      </c>
      <c r="D35" s="752">
        <f>$D$5*C35</f>
        <v>220360</v>
      </c>
      <c r="E35" s="753">
        <f>SUM(E36:E39)</f>
        <v>220360</v>
      </c>
      <c r="F35" s="754">
        <f aca="true" t="shared" si="5" ref="F35:F49">E35/D35</f>
        <v>1</v>
      </c>
      <c r="G35" s="753">
        <f>SUM(G36:G39)</f>
        <v>220360</v>
      </c>
      <c r="H35" s="755">
        <f>SUM(H36:H39)</f>
        <v>0</v>
      </c>
      <c r="I35" s="754">
        <f aca="true" t="shared" si="6" ref="I35:I49">H35/D35</f>
        <v>0</v>
      </c>
      <c r="J35" s="756" t="s">
        <v>913</v>
      </c>
    </row>
    <row r="36" spans="1:10" ht="22.5">
      <c r="A36" s="729" t="s">
        <v>62</v>
      </c>
      <c r="B36" s="730" t="s">
        <v>63</v>
      </c>
      <c r="C36" s="731">
        <v>0.25</v>
      </c>
      <c r="D36" s="732">
        <f aca="true" t="shared" si="7" ref="D36:D39">$D$35*C36</f>
        <v>55090</v>
      </c>
      <c r="E36" s="733">
        <v>55090</v>
      </c>
      <c r="F36" s="734">
        <f t="shared" si="5"/>
        <v>1</v>
      </c>
      <c r="G36" s="733">
        <v>55090</v>
      </c>
      <c r="H36" s="757">
        <v>0</v>
      </c>
      <c r="I36" s="734">
        <f t="shared" si="6"/>
        <v>0</v>
      </c>
      <c r="J36" s="735" t="s">
        <v>914</v>
      </c>
    </row>
    <row r="37" spans="1:10" ht="15">
      <c r="A37" s="729" t="s">
        <v>64</v>
      </c>
      <c r="B37" s="730" t="s">
        <v>65</v>
      </c>
      <c r="C37" s="731">
        <v>0.1</v>
      </c>
      <c r="D37" s="732">
        <f t="shared" si="7"/>
        <v>22036</v>
      </c>
      <c r="E37" s="733">
        <v>22036</v>
      </c>
      <c r="F37" s="734">
        <f t="shared" si="5"/>
        <v>1</v>
      </c>
      <c r="G37" s="733">
        <v>22036</v>
      </c>
      <c r="H37" s="757">
        <v>0</v>
      </c>
      <c r="I37" s="734">
        <f t="shared" si="6"/>
        <v>0</v>
      </c>
      <c r="J37" s="735" t="s">
        <v>914</v>
      </c>
    </row>
    <row r="38" spans="1:10" ht="22.5">
      <c r="A38" s="729" t="s">
        <v>66</v>
      </c>
      <c r="B38" s="730" t="s">
        <v>67</v>
      </c>
      <c r="C38" s="731">
        <v>0.5</v>
      </c>
      <c r="D38" s="732">
        <f t="shared" si="7"/>
        <v>110180</v>
      </c>
      <c r="E38" s="733">
        <f aca="true" t="shared" si="8" ref="E38:E39">+D38</f>
        <v>110180</v>
      </c>
      <c r="F38" s="734">
        <f t="shared" si="5"/>
        <v>1</v>
      </c>
      <c r="G38" s="733">
        <v>110180</v>
      </c>
      <c r="H38" s="757">
        <v>0</v>
      </c>
      <c r="I38" s="734">
        <f t="shared" si="6"/>
        <v>0</v>
      </c>
      <c r="J38" s="735" t="s">
        <v>865</v>
      </c>
    </row>
    <row r="39" spans="1:10" ht="22.5">
      <c r="A39" s="729" t="s">
        <v>68</v>
      </c>
      <c r="B39" s="730" t="s">
        <v>69</v>
      </c>
      <c r="C39" s="731">
        <v>0.15</v>
      </c>
      <c r="D39" s="732">
        <f t="shared" si="7"/>
        <v>33054</v>
      </c>
      <c r="E39" s="733">
        <f t="shared" si="8"/>
        <v>33054</v>
      </c>
      <c r="F39" s="734">
        <f t="shared" si="5"/>
        <v>1</v>
      </c>
      <c r="G39" s="733">
        <v>33054</v>
      </c>
      <c r="H39" s="757">
        <v>0</v>
      </c>
      <c r="I39" s="734">
        <f t="shared" si="6"/>
        <v>0</v>
      </c>
      <c r="J39" s="735" t="s">
        <v>888</v>
      </c>
    </row>
    <row r="40" spans="1:10" ht="15">
      <c r="A40" s="749">
        <v>3</v>
      </c>
      <c r="B40" s="750" t="s">
        <v>70</v>
      </c>
      <c r="C40" s="751">
        <v>0.25</v>
      </c>
      <c r="D40" s="752">
        <f>$D$5*C40</f>
        <v>275450</v>
      </c>
      <c r="E40" s="753">
        <f>+E41+E42</f>
        <v>275450</v>
      </c>
      <c r="F40" s="754">
        <f t="shared" si="5"/>
        <v>1</v>
      </c>
      <c r="G40" s="753">
        <f>+G41+G42</f>
        <v>275450</v>
      </c>
      <c r="H40" s="755">
        <f>+H41+H42</f>
        <v>0</v>
      </c>
      <c r="I40" s="754">
        <f t="shared" si="6"/>
        <v>0</v>
      </c>
      <c r="J40" s="756" t="s">
        <v>911</v>
      </c>
    </row>
    <row r="41" spans="1:10" ht="15">
      <c r="A41" s="758" t="s">
        <v>71</v>
      </c>
      <c r="B41" s="759" t="s">
        <v>72</v>
      </c>
      <c r="C41" s="760">
        <v>0.15</v>
      </c>
      <c r="D41" s="761">
        <v>41317.5</v>
      </c>
      <c r="E41" s="762">
        <f>+D41</f>
        <v>41317.5</v>
      </c>
      <c r="F41" s="763">
        <f t="shared" si="5"/>
        <v>1</v>
      </c>
      <c r="G41" s="762">
        <v>41317.5</v>
      </c>
      <c r="H41" s="764">
        <v>0</v>
      </c>
      <c r="I41" s="763">
        <f t="shared" si="6"/>
        <v>0</v>
      </c>
      <c r="J41" s="765" t="s">
        <v>915</v>
      </c>
    </row>
    <row r="42" spans="1:10" ht="15">
      <c r="A42" s="758" t="s">
        <v>73</v>
      </c>
      <c r="B42" s="759" t="s">
        <v>74</v>
      </c>
      <c r="C42" s="760">
        <v>0.85</v>
      </c>
      <c r="D42" s="761">
        <v>234132.5</v>
      </c>
      <c r="E42" s="762">
        <f aca="true" t="shared" si="9" ref="E42:E48">G42+H42</f>
        <v>234132.5</v>
      </c>
      <c r="F42" s="763">
        <f t="shared" si="5"/>
        <v>1</v>
      </c>
      <c r="G42" s="762">
        <v>234132.5</v>
      </c>
      <c r="H42" s="764">
        <v>0</v>
      </c>
      <c r="I42" s="763">
        <f t="shared" si="6"/>
        <v>0</v>
      </c>
      <c r="J42" s="765" t="s">
        <v>916</v>
      </c>
    </row>
    <row r="43" spans="1:10" ht="15">
      <c r="A43" s="749">
        <v>4</v>
      </c>
      <c r="B43" s="750" t="s">
        <v>75</v>
      </c>
      <c r="C43" s="751">
        <v>0.04</v>
      </c>
      <c r="D43" s="752">
        <f aca="true" t="shared" si="10" ref="D43:D48">$D$5*C43</f>
        <v>44072</v>
      </c>
      <c r="E43" s="752">
        <f t="shared" si="9"/>
        <v>22000</v>
      </c>
      <c r="F43" s="754">
        <f t="shared" si="5"/>
        <v>0.49918315483753856</v>
      </c>
      <c r="G43" s="753">
        <v>22000</v>
      </c>
      <c r="H43" s="755">
        <v>0</v>
      </c>
      <c r="I43" s="754">
        <f t="shared" si="6"/>
        <v>0</v>
      </c>
      <c r="J43" s="756" t="s">
        <v>917</v>
      </c>
    </row>
    <row r="44" spans="1:10" ht="15">
      <c r="A44" s="749">
        <v>5</v>
      </c>
      <c r="B44" s="750" t="s">
        <v>76</v>
      </c>
      <c r="C44" s="751">
        <v>0.04</v>
      </c>
      <c r="D44" s="752">
        <f t="shared" si="10"/>
        <v>44072</v>
      </c>
      <c r="E44" s="752">
        <f t="shared" si="9"/>
        <v>44072</v>
      </c>
      <c r="F44" s="754">
        <f t="shared" si="5"/>
        <v>1</v>
      </c>
      <c r="G44" s="753">
        <v>44072</v>
      </c>
      <c r="H44" s="755">
        <v>0</v>
      </c>
      <c r="I44" s="754">
        <f t="shared" si="6"/>
        <v>0</v>
      </c>
      <c r="J44" s="756" t="s">
        <v>918</v>
      </c>
    </row>
    <row r="45" spans="1:10" ht="33.75">
      <c r="A45" s="749">
        <v>6</v>
      </c>
      <c r="B45" s="750" t="s">
        <v>77</v>
      </c>
      <c r="C45" s="751">
        <v>0.04</v>
      </c>
      <c r="D45" s="752">
        <f t="shared" si="10"/>
        <v>44072</v>
      </c>
      <c r="E45" s="752">
        <f t="shared" si="9"/>
        <v>0</v>
      </c>
      <c r="F45" s="754">
        <f t="shared" si="5"/>
        <v>0</v>
      </c>
      <c r="G45" s="753">
        <v>0</v>
      </c>
      <c r="H45" s="755">
        <v>0</v>
      </c>
      <c r="I45" s="754">
        <f t="shared" si="6"/>
        <v>0</v>
      </c>
      <c r="J45" s="756" t="s">
        <v>914</v>
      </c>
    </row>
    <row r="46" spans="1:10" ht="33.75">
      <c r="A46" s="749">
        <v>7</v>
      </c>
      <c r="B46" s="750" t="s">
        <v>78</v>
      </c>
      <c r="C46" s="751">
        <v>0.04</v>
      </c>
      <c r="D46" s="752">
        <f t="shared" si="10"/>
        <v>44072</v>
      </c>
      <c r="E46" s="752">
        <f t="shared" si="9"/>
        <v>0</v>
      </c>
      <c r="F46" s="754">
        <f t="shared" si="5"/>
        <v>0</v>
      </c>
      <c r="G46" s="753">
        <v>0</v>
      </c>
      <c r="H46" s="755">
        <v>0</v>
      </c>
      <c r="I46" s="754">
        <f t="shared" si="6"/>
        <v>0</v>
      </c>
      <c r="J46" s="756" t="s">
        <v>917</v>
      </c>
    </row>
    <row r="47" spans="1:10" ht="15">
      <c r="A47" s="749">
        <v>8</v>
      </c>
      <c r="B47" s="750" t="s">
        <v>79</v>
      </c>
      <c r="C47" s="751">
        <v>0.02</v>
      </c>
      <c r="D47" s="752">
        <f t="shared" si="10"/>
        <v>22036</v>
      </c>
      <c r="E47" s="752">
        <f t="shared" si="9"/>
        <v>0</v>
      </c>
      <c r="F47" s="754">
        <f t="shared" si="5"/>
        <v>0</v>
      </c>
      <c r="G47" s="753">
        <v>0</v>
      </c>
      <c r="H47" s="755">
        <v>0</v>
      </c>
      <c r="I47" s="754">
        <f t="shared" si="6"/>
        <v>0</v>
      </c>
      <c r="J47" s="756" t="s">
        <v>917</v>
      </c>
    </row>
    <row r="48" spans="1:10" ht="33.75">
      <c r="A48" s="766">
        <v>9</v>
      </c>
      <c r="B48" s="767" t="s">
        <v>80</v>
      </c>
      <c r="C48" s="768">
        <v>0.02</v>
      </c>
      <c r="D48" s="769">
        <f t="shared" si="10"/>
        <v>22036</v>
      </c>
      <c r="E48" s="769">
        <f t="shared" si="9"/>
        <v>11018</v>
      </c>
      <c r="F48" s="770">
        <f t="shared" si="5"/>
        <v>0.5</v>
      </c>
      <c r="G48" s="771">
        <v>11018</v>
      </c>
      <c r="H48" s="772">
        <v>0</v>
      </c>
      <c r="I48" s="770">
        <f t="shared" si="6"/>
        <v>0</v>
      </c>
      <c r="J48" s="773" t="s">
        <v>865</v>
      </c>
    </row>
    <row r="49" spans="1:10" ht="15">
      <c r="A49" s="774"/>
      <c r="B49" s="775"/>
      <c r="C49" s="775"/>
      <c r="D49" s="776">
        <f>+D40+D35+D6+D43+D44+D45+D46+D47+D48</f>
        <v>1101800</v>
      </c>
      <c r="E49" s="776">
        <f>+E40+E35+E6+E43+E44+E45+E46+E47+E48</f>
        <v>958530.01</v>
      </c>
      <c r="F49" s="777">
        <f t="shared" si="5"/>
        <v>0.8699673352695589</v>
      </c>
      <c r="G49" s="776">
        <f>+G40+G35+G6+G43+G44+G45+G46+G47+G48</f>
        <v>958530.01</v>
      </c>
      <c r="H49" s="776">
        <f>+H40+H35+H6+H43+H44+H45+H46+H47+H48</f>
        <v>0</v>
      </c>
      <c r="I49" s="777">
        <f t="shared" si="6"/>
        <v>0</v>
      </c>
      <c r="J49" s="776"/>
    </row>
  </sheetData>
  <sheetProtection selectLockedCells="1" selectUnlockedCells="1"/>
  <mergeCells count="1">
    <mergeCell ref="A2:J2"/>
  </mergeCells>
  <printOptions horizontalCentered="1"/>
  <pageMargins left="0.2361111111111111" right="0.2361111111111111" top="0.7479166666666667" bottom="0.19652777777777777" header="0.5118055555555555" footer="0.5118055555555555"/>
  <pageSetup fitToHeight="1" fitToWidth="1" horizontalDpi="300" verticalDpi="300" orientation="landscape" paperSize="9"/>
  <rowBreaks count="1" manualBreakCount="1">
    <brk id="4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B18" sqref="B18"/>
    </sheetView>
  </sheetViews>
  <sheetFormatPr defaultColWidth="12.57421875" defaultRowHeight="15"/>
  <cols>
    <col min="1" max="1" width="5.57421875" style="778" customWidth="1"/>
    <col min="2" max="2" width="36.421875" style="779" customWidth="1"/>
    <col min="3" max="3" width="12.57421875" style="779" customWidth="1"/>
    <col min="4" max="4" width="17.421875" style="779" customWidth="1"/>
    <col min="5" max="5" width="20.8515625" style="779" customWidth="1"/>
    <col min="6" max="6" width="18.00390625" style="779" customWidth="1"/>
    <col min="7" max="16384" width="11.57421875" style="779" customWidth="1"/>
  </cols>
  <sheetData>
    <row r="1" spans="1:6" s="781" customFormat="1" ht="22.5" customHeight="1">
      <c r="A1" s="780" t="s">
        <v>919</v>
      </c>
      <c r="B1" s="780"/>
      <c r="C1" s="780"/>
      <c r="D1" s="780"/>
      <c r="E1" s="780"/>
      <c r="F1" s="780"/>
    </row>
    <row r="3" spans="1:6" s="784" customFormat="1" ht="30" customHeight="1">
      <c r="A3" s="782" t="s">
        <v>2</v>
      </c>
      <c r="B3" s="783" t="s">
        <v>920</v>
      </c>
      <c r="C3" s="782" t="s">
        <v>921</v>
      </c>
      <c r="D3" s="782" t="s">
        <v>922</v>
      </c>
      <c r="E3" s="782" t="s">
        <v>923</v>
      </c>
      <c r="F3" s="782" t="s">
        <v>924</v>
      </c>
    </row>
    <row r="4" spans="1:6" s="784" customFormat="1" ht="13.5" customHeight="1">
      <c r="A4" s="785">
        <v>1</v>
      </c>
      <c r="B4" s="786" t="s">
        <v>925</v>
      </c>
      <c r="C4" s="785">
        <v>2016.2017</v>
      </c>
      <c r="D4" s="785" t="s">
        <v>926</v>
      </c>
      <c r="E4" s="787">
        <v>31251.12</v>
      </c>
      <c r="F4" s="782" t="s">
        <v>927</v>
      </c>
    </row>
    <row r="5" spans="1:6" s="784" customFormat="1" ht="31.5" customHeight="1">
      <c r="A5" s="785">
        <v>2</v>
      </c>
      <c r="B5" s="786" t="s">
        <v>928</v>
      </c>
      <c r="C5" s="785">
        <v>2016.2018</v>
      </c>
      <c r="D5" s="785" t="s">
        <v>926</v>
      </c>
      <c r="E5" s="787">
        <v>24250.31</v>
      </c>
      <c r="F5" s="782"/>
    </row>
    <row r="6" spans="1:6" s="784" customFormat="1" ht="13.5" customHeight="1">
      <c r="A6" s="785">
        <v>3</v>
      </c>
      <c r="B6" s="786" t="s">
        <v>929</v>
      </c>
      <c r="C6" s="785">
        <v>2016</v>
      </c>
      <c r="D6" s="785" t="s">
        <v>926</v>
      </c>
      <c r="E6" s="787">
        <v>15392.76</v>
      </c>
      <c r="F6" s="782"/>
    </row>
    <row r="7" spans="1:6" s="784" customFormat="1" ht="13.5" customHeight="1">
      <c r="A7" s="785"/>
      <c r="B7" s="786" t="s">
        <v>930</v>
      </c>
      <c r="C7" s="785">
        <v>2016</v>
      </c>
      <c r="D7" s="785" t="s">
        <v>926</v>
      </c>
      <c r="E7" s="787">
        <v>2925.2</v>
      </c>
      <c r="F7" s="782"/>
    </row>
    <row r="8" spans="1:6" s="784" customFormat="1" ht="13.5" customHeight="1">
      <c r="A8" s="785">
        <v>4</v>
      </c>
      <c r="B8" s="786" t="s">
        <v>931</v>
      </c>
      <c r="C8" s="785">
        <v>2016</v>
      </c>
      <c r="D8" s="785" t="s">
        <v>926</v>
      </c>
      <c r="E8" s="787">
        <v>15486.09</v>
      </c>
      <c r="F8" s="782"/>
    </row>
    <row r="9" spans="1:6" s="784" customFormat="1" ht="13.5" customHeight="1">
      <c r="A9" s="785">
        <v>5</v>
      </c>
      <c r="B9" s="786" t="s">
        <v>932</v>
      </c>
      <c r="C9" s="785">
        <v>2016</v>
      </c>
      <c r="D9" s="785" t="s">
        <v>926</v>
      </c>
      <c r="E9" s="787">
        <v>145336.34</v>
      </c>
      <c r="F9" s="782"/>
    </row>
    <row r="10" spans="1:6" s="784" customFormat="1" ht="13.5" customHeight="1">
      <c r="A10" s="785">
        <v>6</v>
      </c>
      <c r="B10" s="786" t="s">
        <v>933</v>
      </c>
      <c r="C10" s="785">
        <v>2016</v>
      </c>
      <c r="D10" s="785" t="s">
        <v>926</v>
      </c>
      <c r="E10" s="787">
        <v>463550.15</v>
      </c>
      <c r="F10" s="782"/>
    </row>
    <row r="11" spans="1:6" s="784" customFormat="1" ht="32.25" customHeight="1">
      <c r="A11" s="785">
        <v>7</v>
      </c>
      <c r="B11" s="788" t="s">
        <v>934</v>
      </c>
      <c r="C11" s="785">
        <v>2016</v>
      </c>
      <c r="D11" s="785" t="s">
        <v>926</v>
      </c>
      <c r="E11" s="787">
        <v>61944.34</v>
      </c>
      <c r="F11" s="782"/>
    </row>
    <row r="12" spans="1:6" s="784" customFormat="1" ht="27" customHeight="1">
      <c r="A12" s="785">
        <v>8</v>
      </c>
      <c r="B12" s="789" t="s">
        <v>935</v>
      </c>
      <c r="C12" s="785" t="s">
        <v>936</v>
      </c>
      <c r="D12" s="785" t="s">
        <v>926</v>
      </c>
      <c r="E12" s="787">
        <v>18562.36</v>
      </c>
      <c r="F12" s="782" t="s">
        <v>937</v>
      </c>
    </row>
    <row r="13" spans="1:6" s="784" customFormat="1" ht="16.5" customHeight="1">
      <c r="A13" s="785">
        <v>9</v>
      </c>
      <c r="B13" s="789" t="s">
        <v>931</v>
      </c>
      <c r="C13" s="785">
        <v>2016</v>
      </c>
      <c r="D13" s="785" t="s">
        <v>926</v>
      </c>
      <c r="E13" s="787">
        <v>20787</v>
      </c>
      <c r="F13" s="782"/>
    </row>
    <row r="14" spans="1:6" s="784" customFormat="1" ht="31.5" customHeight="1">
      <c r="A14" s="785">
        <v>10</v>
      </c>
      <c r="B14" s="790" t="s">
        <v>938</v>
      </c>
      <c r="C14" s="785">
        <v>2016</v>
      </c>
      <c r="D14" s="785" t="s">
        <v>926</v>
      </c>
      <c r="E14" s="787">
        <v>4291.11</v>
      </c>
      <c r="F14" s="782" t="s">
        <v>939</v>
      </c>
    </row>
    <row r="15" spans="1:6" s="784" customFormat="1" ht="27.75" customHeight="1">
      <c r="A15" s="785">
        <v>11</v>
      </c>
      <c r="B15" s="790" t="s">
        <v>938</v>
      </c>
      <c r="C15" s="785">
        <v>2016</v>
      </c>
      <c r="D15" s="785" t="s">
        <v>926</v>
      </c>
      <c r="E15" s="787">
        <v>4326.82</v>
      </c>
      <c r="F15" s="782" t="s">
        <v>940</v>
      </c>
    </row>
    <row r="16" spans="1:6" s="784" customFormat="1" ht="31.5" customHeight="1">
      <c r="A16" s="785">
        <v>12</v>
      </c>
      <c r="B16" s="790" t="s">
        <v>938</v>
      </c>
      <c r="C16" s="785">
        <v>2016</v>
      </c>
      <c r="D16" s="785" t="s">
        <v>926</v>
      </c>
      <c r="E16" s="787">
        <v>4346.43</v>
      </c>
      <c r="F16" s="782" t="s">
        <v>941</v>
      </c>
    </row>
    <row r="17" spans="4:5" ht="18">
      <c r="D17" s="791" t="s">
        <v>942</v>
      </c>
      <c r="E17" s="792">
        <f>SUM(E4:E16)</f>
        <v>812450.03</v>
      </c>
    </row>
  </sheetData>
  <sheetProtection selectLockedCells="1" selectUnlockedCells="1"/>
  <mergeCells count="3">
    <mergeCell ref="A1:F1"/>
    <mergeCell ref="F4:F11"/>
    <mergeCell ref="F12:F13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2" sqref="B22"/>
    </sheetView>
  </sheetViews>
  <sheetFormatPr defaultColWidth="12.57421875" defaultRowHeight="15"/>
  <cols>
    <col min="1" max="1" width="5.140625" style="793" customWidth="1"/>
    <col min="2" max="2" width="54.28125" style="794" customWidth="1"/>
    <col min="3" max="3" width="18.57421875" style="793" customWidth="1"/>
    <col min="4" max="4" width="11.140625" style="793" customWidth="1"/>
    <col min="5" max="5" width="20.7109375" style="794" customWidth="1"/>
    <col min="6" max="6" width="11.57421875" style="794" customWidth="1"/>
    <col min="7" max="7" width="22.28125" style="794" customWidth="1"/>
    <col min="8" max="16384" width="11.57421875" style="794" customWidth="1"/>
  </cols>
  <sheetData>
    <row r="1" spans="1:5" s="781" customFormat="1" ht="19.5" customHeight="1">
      <c r="A1" s="780" t="s">
        <v>943</v>
      </c>
      <c r="B1" s="780"/>
      <c r="C1" s="780"/>
      <c r="D1" s="780"/>
      <c r="E1" s="780"/>
    </row>
    <row r="2" spans="1:4" s="784" customFormat="1" ht="12.75">
      <c r="A2" s="795"/>
      <c r="C2" s="795"/>
      <c r="D2" s="795"/>
    </row>
    <row r="3" spans="1:5" s="784" customFormat="1" ht="38.25">
      <c r="A3" s="782" t="s">
        <v>2</v>
      </c>
      <c r="B3" s="796" t="s">
        <v>944</v>
      </c>
      <c r="C3" s="797" t="s">
        <v>945</v>
      </c>
      <c r="D3" s="797" t="s">
        <v>946</v>
      </c>
      <c r="E3" s="798" t="s">
        <v>947</v>
      </c>
    </row>
    <row r="4" spans="1:5" s="784" customFormat="1" ht="32.25" customHeight="1">
      <c r="A4" s="799" t="s">
        <v>948</v>
      </c>
      <c r="B4" s="800" t="s">
        <v>949</v>
      </c>
      <c r="C4" s="801" t="s">
        <v>926</v>
      </c>
      <c r="D4" s="801">
        <v>2016</v>
      </c>
      <c r="E4" s="802">
        <v>1566083.48</v>
      </c>
    </row>
    <row r="5" spans="1:5" s="784" customFormat="1" ht="12.75">
      <c r="A5" s="799" t="s">
        <v>950</v>
      </c>
      <c r="B5" s="800" t="s">
        <v>951</v>
      </c>
      <c r="C5" s="801" t="s">
        <v>926</v>
      </c>
      <c r="D5" s="801">
        <v>2016</v>
      </c>
      <c r="E5" s="802">
        <v>81669.29</v>
      </c>
    </row>
    <row r="6" spans="1:5" s="784" customFormat="1" ht="12.75" customHeight="1">
      <c r="A6" s="799" t="s">
        <v>952</v>
      </c>
      <c r="B6" s="800" t="s">
        <v>953</v>
      </c>
      <c r="C6" s="801" t="s">
        <v>926</v>
      </c>
      <c r="D6" s="803">
        <v>2016.2018</v>
      </c>
      <c r="E6" s="802">
        <v>9473172.45</v>
      </c>
    </row>
    <row r="7" spans="1:5" s="784" customFormat="1" ht="12.75" customHeight="1">
      <c r="A7" s="799" t="s">
        <v>954</v>
      </c>
      <c r="B7" s="800" t="s">
        <v>955</v>
      </c>
      <c r="C7" s="801" t="s">
        <v>926</v>
      </c>
      <c r="D7" s="803">
        <v>2016</v>
      </c>
      <c r="E7" s="802">
        <v>97000</v>
      </c>
    </row>
    <row r="8" spans="1:5" s="784" customFormat="1" ht="12.75" customHeight="1">
      <c r="A8" s="799" t="s">
        <v>956</v>
      </c>
      <c r="B8" s="800" t="s">
        <v>957</v>
      </c>
      <c r="C8" s="801" t="s">
        <v>926</v>
      </c>
      <c r="D8" s="803">
        <v>2016</v>
      </c>
      <c r="E8" s="802">
        <v>173745.7</v>
      </c>
    </row>
    <row r="9" spans="1:5" s="784" customFormat="1" ht="12.75" customHeight="1">
      <c r="A9" s="799" t="s">
        <v>958</v>
      </c>
      <c r="B9" s="788" t="s">
        <v>959</v>
      </c>
      <c r="C9" s="801" t="s">
        <v>926</v>
      </c>
      <c r="D9" s="803">
        <v>2016</v>
      </c>
      <c r="E9" s="802">
        <v>81000</v>
      </c>
    </row>
    <row r="10" spans="1:5" s="784" customFormat="1" ht="12.75" customHeight="1">
      <c r="A10" s="799" t="s">
        <v>960</v>
      </c>
      <c r="B10" s="800" t="s">
        <v>961</v>
      </c>
      <c r="C10" s="801" t="s">
        <v>926</v>
      </c>
      <c r="D10" s="803">
        <v>2016</v>
      </c>
      <c r="E10" s="802">
        <v>18227.12</v>
      </c>
    </row>
    <row r="11" spans="1:5" s="784" customFormat="1" ht="12.75" customHeight="1">
      <c r="A11" s="799" t="s">
        <v>962</v>
      </c>
      <c r="B11" s="800" t="s">
        <v>961</v>
      </c>
      <c r="C11" s="801" t="s">
        <v>926</v>
      </c>
      <c r="D11" s="803">
        <v>2016</v>
      </c>
      <c r="E11" s="802">
        <v>18227.12</v>
      </c>
    </row>
    <row r="12" spans="1:5" s="784" customFormat="1" ht="12.75" customHeight="1">
      <c r="A12" s="799" t="s">
        <v>963</v>
      </c>
      <c r="B12" s="800" t="s">
        <v>964</v>
      </c>
      <c r="C12" s="801" t="s">
        <v>926</v>
      </c>
      <c r="D12" s="804">
        <v>2016</v>
      </c>
      <c r="E12" s="802">
        <v>699034.49</v>
      </c>
    </row>
    <row r="13" spans="1:5" s="784" customFormat="1" ht="12.75" customHeight="1">
      <c r="A13" s="799" t="s">
        <v>965</v>
      </c>
      <c r="B13" s="800" t="s">
        <v>966</v>
      </c>
      <c r="C13" s="801" t="s">
        <v>926</v>
      </c>
      <c r="D13" s="803">
        <v>2016</v>
      </c>
      <c r="E13" s="805">
        <v>309721.71</v>
      </c>
    </row>
    <row r="14" spans="1:5" s="784" customFormat="1" ht="12.75" customHeight="1">
      <c r="A14" s="799" t="s">
        <v>967</v>
      </c>
      <c r="B14" s="800" t="s">
        <v>968</v>
      </c>
      <c r="C14" s="801" t="s">
        <v>926</v>
      </c>
      <c r="D14" s="803">
        <v>2016</v>
      </c>
      <c r="E14" s="802">
        <v>330369.82</v>
      </c>
    </row>
    <row r="15" spans="1:5" s="784" customFormat="1" ht="12.75" customHeight="1">
      <c r="A15" s="799" t="s">
        <v>969</v>
      </c>
      <c r="B15" s="788" t="s">
        <v>970</v>
      </c>
      <c r="C15" s="801" t="s">
        <v>926</v>
      </c>
      <c r="D15" s="803">
        <v>2016</v>
      </c>
      <c r="E15" s="802">
        <v>1094400</v>
      </c>
    </row>
    <row r="16" spans="1:5" s="784" customFormat="1" ht="12.75" customHeight="1">
      <c r="A16" s="799" t="s">
        <v>971</v>
      </c>
      <c r="B16" s="800" t="s">
        <v>972</v>
      </c>
      <c r="C16" s="801" t="s">
        <v>926</v>
      </c>
      <c r="D16" s="803">
        <v>2016</v>
      </c>
      <c r="E16" s="802">
        <v>1455150</v>
      </c>
    </row>
    <row r="17" spans="1:5" s="784" customFormat="1" ht="12.75" customHeight="1">
      <c r="A17" s="799" t="s">
        <v>973</v>
      </c>
      <c r="B17" s="800" t="s">
        <v>974</v>
      </c>
      <c r="C17" s="801" t="s">
        <v>926</v>
      </c>
      <c r="D17" s="803">
        <v>2016</v>
      </c>
      <c r="E17" s="802">
        <v>41296.23</v>
      </c>
    </row>
    <row r="18" spans="1:5" s="784" customFormat="1" ht="12.75" customHeight="1">
      <c r="A18" s="799" t="s">
        <v>975</v>
      </c>
      <c r="B18" s="800" t="s">
        <v>974</v>
      </c>
      <c r="C18" s="801" t="s">
        <v>926</v>
      </c>
      <c r="D18" s="803">
        <v>2016</v>
      </c>
      <c r="E18" s="802">
        <v>41296.22</v>
      </c>
    </row>
    <row r="19" spans="1:5" s="784" customFormat="1" ht="12.75" customHeight="1">
      <c r="A19" s="799" t="s">
        <v>976</v>
      </c>
      <c r="B19" s="800" t="s">
        <v>977</v>
      </c>
      <c r="C19" s="801" t="s">
        <v>926</v>
      </c>
      <c r="D19" s="803">
        <v>2016</v>
      </c>
      <c r="E19" s="802">
        <v>185833.02</v>
      </c>
    </row>
    <row r="20" spans="1:5" s="807" customFormat="1" ht="30">
      <c r="A20" s="806"/>
      <c r="C20" s="806"/>
      <c r="D20" s="791" t="s">
        <v>942</v>
      </c>
      <c r="E20" s="792">
        <f>SUM(E4:E19)</f>
        <v>15666226.649999999</v>
      </c>
    </row>
  </sheetData>
  <sheetProtection selectLockedCells="1" selectUnlockedCells="1"/>
  <mergeCells count="1">
    <mergeCell ref="A1:E1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62"/>
  <sheetViews>
    <sheetView workbookViewId="0" topLeftCell="A52">
      <selection activeCell="B66" sqref="B66"/>
    </sheetView>
  </sheetViews>
  <sheetFormatPr defaultColWidth="9.140625" defaultRowHeight="15"/>
  <cols>
    <col min="1" max="1" width="5.00390625" style="808" customWidth="1"/>
    <col min="2" max="2" width="56.00390625" style="809" customWidth="1"/>
    <col min="3" max="3" width="27.8515625" style="808" customWidth="1"/>
    <col min="4" max="4" width="13.00390625" style="808" customWidth="1"/>
    <col min="5" max="5" width="17.421875" style="808" customWidth="1"/>
    <col min="6" max="6" width="22.7109375" style="810" customWidth="1"/>
    <col min="7" max="7" width="11.28125" style="811" customWidth="1"/>
    <col min="8" max="232" width="9.00390625" style="811" customWidth="1"/>
    <col min="233" max="242" width="11.57421875" style="811" customWidth="1"/>
    <col min="243" max="252" width="11.57421875" style="812" customWidth="1"/>
    <col min="253" max="16384" width="11.57421875" style="779" customWidth="1"/>
  </cols>
  <sheetData>
    <row r="1" spans="1:253" s="814" customFormat="1" ht="12.75" customHeight="1">
      <c r="A1" s="813"/>
      <c r="B1" s="813"/>
      <c r="C1" s="813"/>
      <c r="D1" s="813"/>
      <c r="E1" s="813"/>
      <c r="F1" s="813"/>
      <c r="G1" s="813"/>
      <c r="IS1" s="781"/>
    </row>
    <row r="2" spans="1:253" s="814" customFormat="1" ht="25.5" customHeight="1">
      <c r="A2" s="813" t="s">
        <v>978</v>
      </c>
      <c r="B2" s="813"/>
      <c r="C2" s="813"/>
      <c r="D2" s="813"/>
      <c r="E2" s="813"/>
      <c r="F2" s="813"/>
      <c r="G2" s="813"/>
      <c r="IS2" s="781"/>
    </row>
    <row r="3" spans="1:7" ht="51.75" customHeight="1">
      <c r="A3" s="815" t="s">
        <v>979</v>
      </c>
      <c r="B3" s="816" t="s">
        <v>980</v>
      </c>
      <c r="C3" s="815" t="s">
        <v>981</v>
      </c>
      <c r="D3" s="815" t="s">
        <v>982</v>
      </c>
      <c r="E3" s="815" t="s">
        <v>983</v>
      </c>
      <c r="F3" s="817" t="s">
        <v>984</v>
      </c>
      <c r="G3" s="818" t="s">
        <v>924</v>
      </c>
    </row>
    <row r="4" spans="1:7" s="811" customFormat="1" ht="27.75" customHeight="1">
      <c r="A4" s="819">
        <v>1</v>
      </c>
      <c r="B4" s="788" t="s">
        <v>985</v>
      </c>
      <c r="C4" s="819" t="s">
        <v>986</v>
      </c>
      <c r="D4" s="820" t="s">
        <v>987</v>
      </c>
      <c r="E4" s="819" t="s">
        <v>926</v>
      </c>
      <c r="F4" s="805">
        <v>3572405.93</v>
      </c>
      <c r="G4" s="821" t="s">
        <v>927</v>
      </c>
    </row>
    <row r="5" spans="1:7" s="811" customFormat="1" ht="28.5" customHeight="1">
      <c r="A5" s="819">
        <v>2</v>
      </c>
      <c r="B5" s="788" t="s">
        <v>988</v>
      </c>
      <c r="C5" s="819" t="s">
        <v>986</v>
      </c>
      <c r="D5" s="822" t="s">
        <v>987</v>
      </c>
      <c r="E5" s="819" t="s">
        <v>926</v>
      </c>
      <c r="F5" s="805">
        <v>4012684.06</v>
      </c>
      <c r="G5" s="821"/>
    </row>
    <row r="6" spans="1:7" ht="43.5" customHeight="1">
      <c r="A6" s="819">
        <v>3</v>
      </c>
      <c r="B6" s="788" t="s">
        <v>989</v>
      </c>
      <c r="C6" s="819" t="s">
        <v>986</v>
      </c>
      <c r="D6" s="822" t="s">
        <v>987</v>
      </c>
      <c r="E6" s="819" t="s">
        <v>926</v>
      </c>
      <c r="F6" s="805">
        <v>6555481.5</v>
      </c>
      <c r="G6" s="821"/>
    </row>
    <row r="7" spans="1:7" s="811" customFormat="1" ht="25.5" customHeight="1">
      <c r="A7" s="819">
        <v>4</v>
      </c>
      <c r="B7" s="788" t="s">
        <v>990</v>
      </c>
      <c r="C7" s="819" t="s">
        <v>986</v>
      </c>
      <c r="D7" s="822" t="s">
        <v>987</v>
      </c>
      <c r="E7" s="819" t="s">
        <v>926</v>
      </c>
      <c r="F7" s="805">
        <v>1585811.21</v>
      </c>
      <c r="G7" s="821"/>
    </row>
    <row r="8" spans="1:7" s="811" customFormat="1" ht="22.5" customHeight="1">
      <c r="A8" s="819">
        <v>5</v>
      </c>
      <c r="B8" s="788" t="s">
        <v>991</v>
      </c>
      <c r="C8" s="819" t="s">
        <v>986</v>
      </c>
      <c r="D8" s="822" t="s">
        <v>987</v>
      </c>
      <c r="E8" s="819" t="s">
        <v>926</v>
      </c>
      <c r="F8" s="805">
        <v>170093.14</v>
      </c>
      <c r="G8" s="821"/>
    </row>
    <row r="9" spans="1:7" ht="33" customHeight="1">
      <c r="A9" s="819">
        <v>6</v>
      </c>
      <c r="B9" s="788" t="s">
        <v>992</v>
      </c>
      <c r="C9" s="819" t="s">
        <v>993</v>
      </c>
      <c r="D9" s="822" t="s">
        <v>987</v>
      </c>
      <c r="E9" s="819" t="s">
        <v>926</v>
      </c>
      <c r="F9" s="805">
        <v>469627.41</v>
      </c>
      <c r="G9" s="821"/>
    </row>
    <row r="10" spans="1:7" s="811" customFormat="1" ht="22.5" customHeight="1">
      <c r="A10" s="819">
        <v>7</v>
      </c>
      <c r="B10" s="788" t="s">
        <v>994</v>
      </c>
      <c r="C10" s="819" t="s">
        <v>986</v>
      </c>
      <c r="D10" s="822" t="s">
        <v>987</v>
      </c>
      <c r="E10" s="819" t="s">
        <v>926</v>
      </c>
      <c r="F10" s="805">
        <v>379428.3</v>
      </c>
      <c r="G10" s="821"/>
    </row>
    <row r="11" spans="1:243" s="824" customFormat="1" ht="33" customHeight="1">
      <c r="A11" s="819">
        <v>8</v>
      </c>
      <c r="B11" s="823" t="s">
        <v>949</v>
      </c>
      <c r="C11" s="819" t="s">
        <v>993</v>
      </c>
      <c r="D11" s="822" t="s">
        <v>987</v>
      </c>
      <c r="E11" s="819" t="s">
        <v>926</v>
      </c>
      <c r="F11" s="805">
        <v>1566083.48</v>
      </c>
      <c r="G11" s="821"/>
      <c r="II11" s="825"/>
    </row>
    <row r="12" spans="1:7" s="811" customFormat="1" ht="31.5" customHeight="1">
      <c r="A12" s="819">
        <v>9</v>
      </c>
      <c r="B12" s="788" t="s">
        <v>995</v>
      </c>
      <c r="C12" s="819" t="s">
        <v>986</v>
      </c>
      <c r="D12" s="822" t="s">
        <v>987</v>
      </c>
      <c r="E12" s="819" t="s">
        <v>926</v>
      </c>
      <c r="F12" s="805">
        <v>27445.92</v>
      </c>
      <c r="G12" s="821"/>
    </row>
    <row r="13" spans="1:7" s="811" customFormat="1" ht="22.5" customHeight="1">
      <c r="A13" s="819">
        <v>10</v>
      </c>
      <c r="B13" s="788" t="s">
        <v>996</v>
      </c>
      <c r="C13" s="819" t="s">
        <v>986</v>
      </c>
      <c r="D13" s="822" t="s">
        <v>987</v>
      </c>
      <c r="E13" s="819" t="s">
        <v>926</v>
      </c>
      <c r="F13" s="805">
        <v>232966.62</v>
      </c>
      <c r="G13" s="821"/>
    </row>
    <row r="14" spans="1:7" s="811" customFormat="1" ht="22.5" customHeight="1">
      <c r="A14" s="819">
        <v>11</v>
      </c>
      <c r="B14" s="788" t="s">
        <v>997</v>
      </c>
      <c r="C14" s="819" t="s">
        <v>986</v>
      </c>
      <c r="D14" s="822" t="s">
        <v>987</v>
      </c>
      <c r="E14" s="819" t="s">
        <v>926</v>
      </c>
      <c r="F14" s="805">
        <v>2495664.68</v>
      </c>
      <c r="G14" s="821"/>
    </row>
    <row r="15" spans="1:7" s="811" customFormat="1" ht="22.5" customHeight="1">
      <c r="A15" s="819">
        <v>12</v>
      </c>
      <c r="B15" s="788" t="s">
        <v>998</v>
      </c>
      <c r="C15" s="819" t="s">
        <v>986</v>
      </c>
      <c r="D15" s="822" t="s">
        <v>987</v>
      </c>
      <c r="E15" s="819" t="s">
        <v>926</v>
      </c>
      <c r="F15" s="805">
        <v>528061.05</v>
      </c>
      <c r="G15" s="821"/>
    </row>
    <row r="16" spans="1:7" s="811" customFormat="1" ht="22.5" customHeight="1">
      <c r="A16" s="819">
        <v>13</v>
      </c>
      <c r="B16" s="788" t="s">
        <v>999</v>
      </c>
      <c r="C16" s="819" t="s">
        <v>986</v>
      </c>
      <c r="D16" s="822" t="s">
        <v>987</v>
      </c>
      <c r="E16" s="819" t="s">
        <v>926</v>
      </c>
      <c r="F16" s="805">
        <v>1272956.21</v>
      </c>
      <c r="G16" s="821"/>
    </row>
    <row r="17" spans="1:7" s="811" customFormat="1" ht="22.5" customHeight="1">
      <c r="A17" s="819">
        <v>14</v>
      </c>
      <c r="B17" s="788" t="s">
        <v>1000</v>
      </c>
      <c r="C17" s="819" t="s">
        <v>986</v>
      </c>
      <c r="D17" s="822" t="s">
        <v>987</v>
      </c>
      <c r="E17" s="819" t="s">
        <v>926</v>
      </c>
      <c r="F17" s="805">
        <v>1444557.81</v>
      </c>
      <c r="G17" s="821"/>
    </row>
    <row r="18" spans="1:7" s="811" customFormat="1" ht="22.5" customHeight="1">
      <c r="A18" s="819">
        <v>15</v>
      </c>
      <c r="B18" s="788" t="s">
        <v>1001</v>
      </c>
      <c r="C18" s="819" t="s">
        <v>986</v>
      </c>
      <c r="D18" s="822" t="s">
        <v>987</v>
      </c>
      <c r="E18" s="819" t="s">
        <v>926</v>
      </c>
      <c r="F18" s="805">
        <v>31894.51</v>
      </c>
      <c r="G18" s="821"/>
    </row>
    <row r="19" spans="1:7" ht="29.25" customHeight="1">
      <c r="A19" s="819">
        <v>16</v>
      </c>
      <c r="B19" s="788" t="s">
        <v>1002</v>
      </c>
      <c r="C19" s="819" t="s">
        <v>986</v>
      </c>
      <c r="D19" s="822" t="s">
        <v>987</v>
      </c>
      <c r="E19" s="819" t="s">
        <v>926</v>
      </c>
      <c r="F19" s="805">
        <v>180748.65</v>
      </c>
      <c r="G19" s="821"/>
    </row>
    <row r="20" spans="1:7" s="811" customFormat="1" ht="22.5" customHeight="1">
      <c r="A20" s="819">
        <v>17</v>
      </c>
      <c r="B20" s="788" t="s">
        <v>1003</v>
      </c>
      <c r="C20" s="819" t="s">
        <v>986</v>
      </c>
      <c r="D20" s="822" t="s">
        <v>987</v>
      </c>
      <c r="E20" s="819" t="s">
        <v>926</v>
      </c>
      <c r="F20" s="805">
        <v>671936.48</v>
      </c>
      <c r="G20" s="821"/>
    </row>
    <row r="21" spans="1:7" ht="33" customHeight="1">
      <c r="A21" s="819">
        <v>18</v>
      </c>
      <c r="B21" s="788" t="s">
        <v>1004</v>
      </c>
      <c r="C21" s="819" t="s">
        <v>993</v>
      </c>
      <c r="D21" s="822" t="s">
        <v>987</v>
      </c>
      <c r="E21" s="819" t="s">
        <v>926</v>
      </c>
      <c r="F21" s="805">
        <v>199616.72</v>
      </c>
      <c r="G21" s="821"/>
    </row>
    <row r="22" spans="1:7" s="811" customFormat="1" ht="22.5" customHeight="1">
      <c r="A22" s="819">
        <v>19</v>
      </c>
      <c r="B22" s="788" t="s">
        <v>1005</v>
      </c>
      <c r="C22" s="819" t="s">
        <v>986</v>
      </c>
      <c r="D22" s="822" t="s">
        <v>987</v>
      </c>
      <c r="E22" s="819" t="s">
        <v>926</v>
      </c>
      <c r="F22" s="805">
        <v>134212.74</v>
      </c>
      <c r="G22" s="821"/>
    </row>
    <row r="23" spans="1:7" s="811" customFormat="1" ht="22.5" customHeight="1">
      <c r="A23" s="819">
        <v>20</v>
      </c>
      <c r="B23" s="788" t="s">
        <v>1006</v>
      </c>
      <c r="C23" s="819" t="s">
        <v>986</v>
      </c>
      <c r="D23" s="822" t="s">
        <v>987</v>
      </c>
      <c r="E23" s="819" t="s">
        <v>926</v>
      </c>
      <c r="F23" s="805">
        <v>237377.01</v>
      </c>
      <c r="G23" s="821"/>
    </row>
    <row r="24" spans="1:7" ht="30.75" customHeight="1">
      <c r="A24" s="819">
        <v>21</v>
      </c>
      <c r="B24" s="823" t="s">
        <v>1007</v>
      </c>
      <c r="C24" s="819" t="s">
        <v>993</v>
      </c>
      <c r="D24" s="822" t="s">
        <v>987</v>
      </c>
      <c r="E24" s="819" t="s">
        <v>926</v>
      </c>
      <c r="F24" s="805">
        <v>699034.49</v>
      </c>
      <c r="G24" s="821"/>
    </row>
    <row r="25" spans="1:7" ht="33.75" customHeight="1">
      <c r="A25" s="819">
        <v>22</v>
      </c>
      <c r="B25" s="823" t="s">
        <v>1008</v>
      </c>
      <c r="C25" s="819" t="s">
        <v>993</v>
      </c>
      <c r="D25" s="822" t="s">
        <v>987</v>
      </c>
      <c r="E25" s="819" t="s">
        <v>926</v>
      </c>
      <c r="F25" s="805">
        <v>309721.71</v>
      </c>
      <c r="G25" s="821"/>
    </row>
    <row r="26" spans="1:248" s="824" customFormat="1" ht="30.75" customHeight="1">
      <c r="A26" s="819">
        <v>23</v>
      </c>
      <c r="B26" s="823" t="s">
        <v>968</v>
      </c>
      <c r="C26" s="819" t="s">
        <v>993</v>
      </c>
      <c r="D26" s="822" t="s">
        <v>987</v>
      </c>
      <c r="E26" s="819" t="s">
        <v>926</v>
      </c>
      <c r="F26" s="802">
        <v>330369.82</v>
      </c>
      <c r="G26" s="821"/>
      <c r="II26" s="825"/>
      <c r="IJ26" s="825"/>
      <c r="IK26" s="825"/>
      <c r="IL26" s="825"/>
      <c r="IM26" s="825"/>
      <c r="IN26" s="825"/>
    </row>
    <row r="27" spans="1:248" s="824" customFormat="1" ht="33.75" customHeight="1">
      <c r="A27" s="819">
        <v>24</v>
      </c>
      <c r="B27" s="823" t="s">
        <v>951</v>
      </c>
      <c r="C27" s="819" t="s">
        <v>993</v>
      </c>
      <c r="D27" s="822" t="s">
        <v>987</v>
      </c>
      <c r="E27" s="819" t="s">
        <v>926</v>
      </c>
      <c r="F27" s="805">
        <v>81669.29</v>
      </c>
      <c r="G27" s="821"/>
      <c r="II27" s="825"/>
      <c r="IJ27" s="825"/>
      <c r="IK27" s="825"/>
      <c r="IL27" s="825"/>
      <c r="IM27" s="825"/>
      <c r="IN27" s="825"/>
    </row>
    <row r="28" spans="1:7" s="811" customFormat="1" ht="29.25" customHeight="1">
      <c r="A28" s="819">
        <v>25</v>
      </c>
      <c r="B28" s="788" t="s">
        <v>1009</v>
      </c>
      <c r="C28" s="819" t="s">
        <v>986</v>
      </c>
      <c r="D28" s="822" t="s">
        <v>987</v>
      </c>
      <c r="E28" s="819" t="s">
        <v>926</v>
      </c>
      <c r="F28" s="805">
        <v>700178.3</v>
      </c>
      <c r="G28" s="821"/>
    </row>
    <row r="29" spans="1:7" s="811" customFormat="1" ht="22.5" customHeight="1">
      <c r="A29" s="819">
        <v>26</v>
      </c>
      <c r="B29" s="788" t="s">
        <v>1010</v>
      </c>
      <c r="C29" s="819" t="s">
        <v>986</v>
      </c>
      <c r="D29" s="822" t="s">
        <v>987</v>
      </c>
      <c r="E29" s="819" t="s">
        <v>926</v>
      </c>
      <c r="F29" s="805">
        <v>63282.17</v>
      </c>
      <c r="G29" s="821"/>
    </row>
    <row r="30" spans="1:7" s="811" customFormat="1" ht="22.5" customHeight="1">
      <c r="A30" s="819">
        <v>27</v>
      </c>
      <c r="B30" s="788" t="s">
        <v>1011</v>
      </c>
      <c r="C30" s="819" t="s">
        <v>986</v>
      </c>
      <c r="D30" s="822" t="s">
        <v>987</v>
      </c>
      <c r="E30" s="819" t="s">
        <v>926</v>
      </c>
      <c r="F30" s="805">
        <v>37502.65</v>
      </c>
      <c r="G30" s="821"/>
    </row>
    <row r="31" spans="1:7" ht="37.5" customHeight="1">
      <c r="A31" s="819">
        <v>28</v>
      </c>
      <c r="B31" s="788" t="s">
        <v>1012</v>
      </c>
      <c r="C31" s="819" t="s">
        <v>993</v>
      </c>
      <c r="D31" s="822" t="s">
        <v>1013</v>
      </c>
      <c r="E31" s="819" t="s">
        <v>926</v>
      </c>
      <c r="F31" s="805">
        <v>9473172.45</v>
      </c>
      <c r="G31" s="821"/>
    </row>
    <row r="32" spans="1:7" ht="22.5" customHeight="1">
      <c r="A32" s="819">
        <v>29</v>
      </c>
      <c r="B32" s="788" t="s">
        <v>1014</v>
      </c>
      <c r="C32" s="819" t="s">
        <v>986</v>
      </c>
      <c r="D32" s="822" t="s">
        <v>987</v>
      </c>
      <c r="E32" s="819" t="s">
        <v>926</v>
      </c>
      <c r="F32" s="805">
        <v>492920.52</v>
      </c>
      <c r="G32" s="821"/>
    </row>
    <row r="33" spans="1:7" ht="42" customHeight="1">
      <c r="A33" s="819">
        <v>30</v>
      </c>
      <c r="B33" s="788" t="s">
        <v>1015</v>
      </c>
      <c r="C33" s="819" t="s">
        <v>993</v>
      </c>
      <c r="D33" s="822" t="s">
        <v>987</v>
      </c>
      <c r="E33" s="819" t="s">
        <v>926</v>
      </c>
      <c r="F33" s="805">
        <v>7425541.9</v>
      </c>
      <c r="G33" s="821"/>
    </row>
    <row r="34" spans="1:7" s="811" customFormat="1" ht="30.75" customHeight="1">
      <c r="A34" s="819">
        <v>31</v>
      </c>
      <c r="B34" s="788" t="s">
        <v>1016</v>
      </c>
      <c r="C34" s="819" t="s">
        <v>986</v>
      </c>
      <c r="D34" s="822" t="s">
        <v>987</v>
      </c>
      <c r="E34" s="819" t="s">
        <v>926</v>
      </c>
      <c r="F34" s="805">
        <v>242615.34</v>
      </c>
      <c r="G34" s="821"/>
    </row>
    <row r="35" spans="1:7" ht="22.5" customHeight="1">
      <c r="A35" s="819">
        <v>32</v>
      </c>
      <c r="B35" s="788" t="s">
        <v>1017</v>
      </c>
      <c r="C35" s="819" t="s">
        <v>1018</v>
      </c>
      <c r="D35" s="822" t="s">
        <v>987</v>
      </c>
      <c r="E35" s="819" t="s">
        <v>926</v>
      </c>
      <c r="F35" s="805">
        <v>45000</v>
      </c>
      <c r="G35" s="821"/>
    </row>
    <row r="36" spans="1:7" ht="30.75" customHeight="1">
      <c r="A36" s="819">
        <v>33</v>
      </c>
      <c r="B36" s="788" t="s">
        <v>1019</v>
      </c>
      <c r="C36" s="819" t="s">
        <v>993</v>
      </c>
      <c r="D36" s="822" t="s">
        <v>1020</v>
      </c>
      <c r="E36" s="819" t="s">
        <v>926</v>
      </c>
      <c r="F36" s="805">
        <v>30700</v>
      </c>
      <c r="G36" s="821"/>
    </row>
    <row r="37" spans="1:7" ht="27.75" customHeight="1">
      <c r="A37" s="819">
        <v>34</v>
      </c>
      <c r="B37" s="788" t="s">
        <v>1021</v>
      </c>
      <c r="C37" s="819" t="s">
        <v>993</v>
      </c>
      <c r="D37" s="822" t="s">
        <v>1022</v>
      </c>
      <c r="E37" s="819" t="s">
        <v>926</v>
      </c>
      <c r="F37" s="805">
        <v>24850</v>
      </c>
      <c r="G37" s="821"/>
    </row>
    <row r="38" spans="1:7" ht="27.75" customHeight="1">
      <c r="A38" s="819">
        <v>35</v>
      </c>
      <c r="B38" s="788" t="s">
        <v>1023</v>
      </c>
      <c r="C38" s="819" t="s">
        <v>993</v>
      </c>
      <c r="D38" s="826">
        <v>2017</v>
      </c>
      <c r="E38" s="819" t="s">
        <v>926</v>
      </c>
      <c r="F38" s="805">
        <v>12500</v>
      </c>
      <c r="G38" s="821"/>
    </row>
    <row r="39" spans="1:7" ht="31.5" customHeight="1">
      <c r="A39" s="819">
        <v>36</v>
      </c>
      <c r="B39" s="788" t="s">
        <v>1024</v>
      </c>
      <c r="C39" s="819" t="s">
        <v>993</v>
      </c>
      <c r="D39" s="822" t="s">
        <v>1025</v>
      </c>
      <c r="E39" s="819" t="s">
        <v>926</v>
      </c>
      <c r="F39" s="805">
        <v>7999</v>
      </c>
      <c r="G39" s="821"/>
    </row>
    <row r="40" spans="1:7" ht="44.25" customHeight="1">
      <c r="A40" s="819">
        <v>37</v>
      </c>
      <c r="B40" s="800" t="s">
        <v>1026</v>
      </c>
      <c r="C40" s="801" t="s">
        <v>993</v>
      </c>
      <c r="D40" s="801" t="s">
        <v>1027</v>
      </c>
      <c r="E40" s="801" t="s">
        <v>926</v>
      </c>
      <c r="F40" s="805">
        <v>167248.84</v>
      </c>
      <c r="G40" s="827" t="s">
        <v>937</v>
      </c>
    </row>
    <row r="41" spans="1:7" ht="22.5" customHeight="1">
      <c r="A41" s="819">
        <v>38</v>
      </c>
      <c r="B41" s="800" t="s">
        <v>1028</v>
      </c>
      <c r="C41" s="801" t="s">
        <v>1018</v>
      </c>
      <c r="D41" s="801" t="s">
        <v>987</v>
      </c>
      <c r="E41" s="801" t="s">
        <v>926</v>
      </c>
      <c r="F41" s="805">
        <v>274326.03</v>
      </c>
      <c r="G41" s="828" t="s">
        <v>939</v>
      </c>
    </row>
    <row r="42" spans="1:7" ht="22.5" customHeight="1">
      <c r="A42" s="819">
        <v>39</v>
      </c>
      <c r="B42" s="800" t="s">
        <v>1029</v>
      </c>
      <c r="C42" s="801" t="s">
        <v>986</v>
      </c>
      <c r="D42" s="801" t="s">
        <v>987</v>
      </c>
      <c r="E42" s="801" t="s">
        <v>926</v>
      </c>
      <c r="F42" s="805">
        <v>23066.45</v>
      </c>
      <c r="G42" s="828"/>
    </row>
    <row r="43" spans="1:7" ht="22.5" customHeight="1">
      <c r="A43" s="819">
        <v>40</v>
      </c>
      <c r="B43" s="800" t="s">
        <v>1030</v>
      </c>
      <c r="C43" s="801" t="s">
        <v>986</v>
      </c>
      <c r="D43" s="801" t="s">
        <v>987</v>
      </c>
      <c r="E43" s="801" t="s">
        <v>926</v>
      </c>
      <c r="F43" s="805">
        <v>41190.09</v>
      </c>
      <c r="G43" s="828"/>
    </row>
    <row r="44" spans="1:7" ht="22.5" customHeight="1">
      <c r="A44" s="819">
        <v>41</v>
      </c>
      <c r="B44" s="800" t="s">
        <v>1031</v>
      </c>
      <c r="C44" s="801" t="s">
        <v>986</v>
      </c>
      <c r="D44" s="801" t="s">
        <v>987</v>
      </c>
      <c r="E44" s="801" t="s">
        <v>926</v>
      </c>
      <c r="F44" s="805">
        <v>262782.8</v>
      </c>
      <c r="G44" s="828"/>
    </row>
    <row r="45" spans="1:7" ht="22.5" customHeight="1">
      <c r="A45" s="819">
        <v>42</v>
      </c>
      <c r="B45" s="800" t="s">
        <v>1032</v>
      </c>
      <c r="C45" s="801" t="s">
        <v>986</v>
      </c>
      <c r="D45" s="801" t="s">
        <v>987</v>
      </c>
      <c r="E45" s="801" t="s">
        <v>926</v>
      </c>
      <c r="F45" s="805">
        <v>19771.25</v>
      </c>
      <c r="G45" s="828"/>
    </row>
    <row r="46" spans="1:7" ht="30" customHeight="1">
      <c r="A46" s="819">
        <v>43</v>
      </c>
      <c r="B46" s="800" t="s">
        <v>1033</v>
      </c>
      <c r="C46" s="801" t="s">
        <v>993</v>
      </c>
      <c r="D46" s="801" t="s">
        <v>987</v>
      </c>
      <c r="E46" s="801" t="s">
        <v>926</v>
      </c>
      <c r="F46" s="805">
        <v>148725.92</v>
      </c>
      <c r="G46" s="828"/>
    </row>
    <row r="47" spans="1:7" ht="30.75" customHeight="1">
      <c r="A47" s="819">
        <v>44</v>
      </c>
      <c r="B47" s="800" t="s">
        <v>1034</v>
      </c>
      <c r="C47" s="801" t="s">
        <v>993</v>
      </c>
      <c r="D47" s="801" t="s">
        <v>987</v>
      </c>
      <c r="E47" s="801" t="s">
        <v>926</v>
      </c>
      <c r="F47" s="805">
        <v>13180.83</v>
      </c>
      <c r="G47" s="828"/>
    </row>
    <row r="48" spans="1:7" ht="22.5" customHeight="1">
      <c r="A48" s="819">
        <v>45</v>
      </c>
      <c r="B48" s="800" t="s">
        <v>1035</v>
      </c>
      <c r="C48" s="801" t="s">
        <v>1018</v>
      </c>
      <c r="D48" s="801" t="s">
        <v>987</v>
      </c>
      <c r="E48" s="801" t="s">
        <v>926</v>
      </c>
      <c r="F48" s="805">
        <v>260925.56</v>
      </c>
      <c r="G48" s="828" t="s">
        <v>940</v>
      </c>
    </row>
    <row r="49" spans="1:7" ht="22.5" customHeight="1">
      <c r="A49" s="819">
        <v>46</v>
      </c>
      <c r="B49" s="800" t="s">
        <v>1029</v>
      </c>
      <c r="C49" s="801" t="s">
        <v>986</v>
      </c>
      <c r="D49" s="801" t="s">
        <v>987</v>
      </c>
      <c r="E49" s="801" t="s">
        <v>926</v>
      </c>
      <c r="F49" s="805">
        <v>23258.36</v>
      </c>
      <c r="G49" s="828"/>
    </row>
    <row r="50" spans="1:7" ht="22.5" customHeight="1">
      <c r="A50" s="819">
        <v>47</v>
      </c>
      <c r="B50" s="800" t="s">
        <v>1030</v>
      </c>
      <c r="C50" s="801" t="s">
        <v>986</v>
      </c>
      <c r="D50" s="801" t="s">
        <v>987</v>
      </c>
      <c r="E50" s="801" t="s">
        <v>926</v>
      </c>
      <c r="F50" s="805">
        <v>41532.78</v>
      </c>
      <c r="G50" s="828"/>
    </row>
    <row r="51" spans="1:7" ht="22.5" customHeight="1">
      <c r="A51" s="819">
        <v>48</v>
      </c>
      <c r="B51" s="800" t="s">
        <v>1036</v>
      </c>
      <c r="C51" s="801" t="s">
        <v>986</v>
      </c>
      <c r="D51" s="801" t="s">
        <v>987</v>
      </c>
      <c r="E51" s="801" t="s">
        <v>926</v>
      </c>
      <c r="F51" s="805">
        <v>197529.92</v>
      </c>
      <c r="G51" s="828"/>
    </row>
    <row r="52" spans="1:7" ht="22.5" customHeight="1">
      <c r="A52" s="819">
        <v>49</v>
      </c>
      <c r="B52" s="800" t="s">
        <v>1037</v>
      </c>
      <c r="C52" s="801" t="s">
        <v>986</v>
      </c>
      <c r="D52" s="801" t="s">
        <v>987</v>
      </c>
      <c r="E52" s="801" t="s">
        <v>926</v>
      </c>
      <c r="F52" s="805">
        <v>19935.74</v>
      </c>
      <c r="G52" s="828"/>
    </row>
    <row r="53" spans="1:7" ht="30.75" customHeight="1">
      <c r="A53" s="819">
        <v>50</v>
      </c>
      <c r="B53" s="800" t="s">
        <v>1033</v>
      </c>
      <c r="C53" s="801" t="s">
        <v>993</v>
      </c>
      <c r="D53" s="801" t="s">
        <v>987</v>
      </c>
      <c r="E53" s="801" t="s">
        <v>926</v>
      </c>
      <c r="F53" s="805">
        <v>149963.21</v>
      </c>
      <c r="G53" s="828"/>
    </row>
    <row r="54" spans="1:7" ht="33.75" customHeight="1">
      <c r="A54" s="819">
        <v>51</v>
      </c>
      <c r="B54" s="800" t="s">
        <v>1034</v>
      </c>
      <c r="C54" s="801" t="s">
        <v>993</v>
      </c>
      <c r="D54" s="801" t="s">
        <v>987</v>
      </c>
      <c r="E54" s="801" t="s">
        <v>926</v>
      </c>
      <c r="F54" s="805">
        <v>13290.49</v>
      </c>
      <c r="G54" s="828"/>
    </row>
    <row r="55" spans="1:7" ht="22.5" customHeight="1">
      <c r="A55" s="819">
        <v>52</v>
      </c>
      <c r="B55" s="800" t="s">
        <v>1038</v>
      </c>
      <c r="C55" s="801" t="s">
        <v>1018</v>
      </c>
      <c r="D55" s="801" t="s">
        <v>987</v>
      </c>
      <c r="E55" s="801" t="s">
        <v>926</v>
      </c>
      <c r="F55" s="805">
        <v>199426.59</v>
      </c>
      <c r="G55" s="828" t="s">
        <v>941</v>
      </c>
    </row>
    <row r="56" spans="1:7" ht="22.5" customHeight="1">
      <c r="A56" s="819">
        <v>53</v>
      </c>
      <c r="B56" s="800" t="s">
        <v>1029</v>
      </c>
      <c r="C56" s="801" t="s">
        <v>986</v>
      </c>
      <c r="D56" s="801" t="s">
        <v>987</v>
      </c>
      <c r="E56" s="801" t="s">
        <v>926</v>
      </c>
      <c r="F56" s="805">
        <v>23363.78</v>
      </c>
      <c r="G56" s="828"/>
    </row>
    <row r="57" spans="1:7" ht="22.5" customHeight="1">
      <c r="A57" s="819">
        <v>54</v>
      </c>
      <c r="B57" s="800" t="s">
        <v>1030</v>
      </c>
      <c r="C57" s="801" t="s">
        <v>986</v>
      </c>
      <c r="D57" s="801" t="s">
        <v>987</v>
      </c>
      <c r="E57" s="801" t="s">
        <v>926</v>
      </c>
      <c r="F57" s="805">
        <v>41721.04</v>
      </c>
      <c r="G57" s="828"/>
    </row>
    <row r="58" spans="1:7" ht="22.5" customHeight="1">
      <c r="A58" s="819">
        <v>55</v>
      </c>
      <c r="B58" s="800" t="s">
        <v>1039</v>
      </c>
      <c r="C58" s="801" t="s">
        <v>986</v>
      </c>
      <c r="D58" s="801" t="s">
        <v>987</v>
      </c>
      <c r="E58" s="801" t="s">
        <v>926</v>
      </c>
      <c r="F58" s="805">
        <v>266180.26</v>
      </c>
      <c r="G58" s="828"/>
    </row>
    <row r="59" spans="1:7" ht="22.5" customHeight="1">
      <c r="A59" s="819">
        <v>56</v>
      </c>
      <c r="B59" s="800" t="s">
        <v>1040</v>
      </c>
      <c r="C59" s="801" t="s">
        <v>986</v>
      </c>
      <c r="D59" s="801" t="s">
        <v>987</v>
      </c>
      <c r="E59" s="801" t="s">
        <v>926</v>
      </c>
      <c r="F59" s="805">
        <v>20026.1</v>
      </c>
      <c r="G59" s="828"/>
    </row>
    <row r="60" spans="1:7" ht="33.75" customHeight="1">
      <c r="A60" s="819">
        <v>57</v>
      </c>
      <c r="B60" s="800" t="s">
        <v>1033</v>
      </c>
      <c r="C60" s="801" t="s">
        <v>993</v>
      </c>
      <c r="D60" s="801" t="s">
        <v>987</v>
      </c>
      <c r="E60" s="801" t="s">
        <v>926</v>
      </c>
      <c r="F60" s="805">
        <v>92233.57</v>
      </c>
      <c r="G60" s="828"/>
    </row>
    <row r="61" spans="1:7" ht="36.75" customHeight="1">
      <c r="A61" s="819">
        <v>58</v>
      </c>
      <c r="B61" s="800" t="s">
        <v>1034</v>
      </c>
      <c r="C61" s="801" t="s">
        <v>993</v>
      </c>
      <c r="D61" s="801" t="s">
        <v>987</v>
      </c>
      <c r="E61" s="801" t="s">
        <v>926</v>
      </c>
      <c r="F61" s="805">
        <v>13350.73</v>
      </c>
      <c r="G61" s="828"/>
    </row>
    <row r="62" spans="1:253" s="814" customFormat="1" ht="18.75" customHeight="1">
      <c r="A62" s="829"/>
      <c r="B62" s="830"/>
      <c r="C62" s="829"/>
      <c r="D62" s="829"/>
      <c r="E62" s="831" t="s">
        <v>942</v>
      </c>
      <c r="F62" s="832">
        <f>SUM(F4:F61)</f>
        <v>48059141.410000004</v>
      </c>
      <c r="II62" s="833"/>
      <c r="IJ62" s="833"/>
      <c r="IK62" s="833"/>
      <c r="IL62" s="833"/>
      <c r="IM62" s="833"/>
      <c r="IN62" s="833"/>
      <c r="IO62" s="833"/>
      <c r="IP62" s="833"/>
      <c r="IQ62" s="833"/>
      <c r="IR62" s="833"/>
      <c r="IS62" s="834"/>
    </row>
  </sheetData>
  <sheetProtection selectLockedCells="1" selectUnlockedCells="1"/>
  <mergeCells count="5">
    <mergeCell ref="A2:G2"/>
    <mergeCell ref="G4:G39"/>
    <mergeCell ref="G41:G47"/>
    <mergeCell ref="G48:G54"/>
    <mergeCell ref="G55:G61"/>
  </mergeCells>
  <printOptions/>
  <pageMargins left="0.07083333333333333" right="0.07083333333333333" top="0.08263888888888889" bottom="0.08263888888888889" header="0.5118055555555555" footer="0.5118055555555555"/>
  <pageSetup horizontalDpi="300" verticalDpi="300" orientation="landscape" paperSize="9" scale="96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epoljanska</dc:creator>
  <cp:keywords/>
  <dc:description/>
  <cp:lastModifiedBy/>
  <cp:lastPrinted>2020-01-21T09:58:09Z</cp:lastPrinted>
  <dcterms:created xsi:type="dcterms:W3CDTF">2020-01-14T13:10:33Z</dcterms:created>
  <dcterms:modified xsi:type="dcterms:W3CDTF">2020-01-21T09:58:23Z</dcterms:modified>
  <cp:category/>
  <cp:version/>
  <cp:contentType/>
  <cp:contentStatus/>
  <cp:revision>7</cp:revision>
</cp:coreProperties>
</file>